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awchild/Documents/GEM3_Project/Data_Submission_Files/ForbeyLab/MarcellaLandfire/manuscript_correction/Datataset_submission/confusion_matrices/"/>
    </mc:Choice>
  </mc:AlternateContent>
  <xr:revisionPtr revIDLastSave="0" documentId="13_ncr:1_{A64C7D4E-62CF-A54E-AF6A-3F5190005C38}" xr6:coauthVersionLast="47" xr6:coauthVersionMax="47" xr10:uidLastSave="{00000000-0000-0000-0000-000000000000}"/>
  <bookViews>
    <workbookView xWindow="35840" yWindow="0" windowWidth="38400" windowHeight="21600" xr2:uid="{D3668B99-5884-4A40-BBD4-1B246D7133DF}"/>
  </bookViews>
  <sheets>
    <sheet name="confusion_matrices_by_site" sheetId="1" r:id="rId1"/>
    <sheet name="confusion_matrices_forage-rando" sheetId="4" r:id="rId2"/>
    <sheet name="calculating_kappa_errors" sheetId="2" r:id="rId3"/>
    <sheet name="table_3" sheetId="6" r:id="rId4"/>
    <sheet name="table_4" sheetId="7" r:id="rId5"/>
    <sheet name="graphs_fig5" sheetId="9" r:id="rId6"/>
    <sheet name="correlation_summaries "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4" l="1"/>
  <c r="G20" i="4"/>
  <c r="F20" i="4"/>
  <c r="E20" i="4"/>
  <c r="D20" i="4"/>
  <c r="C20" i="4"/>
  <c r="B20" i="4"/>
  <c r="I20" i="4" s="1"/>
  <c r="I19" i="4"/>
  <c r="J22" i="4" s="1"/>
  <c r="E53" i="2" s="1"/>
  <c r="H19" i="4"/>
  <c r="G19" i="4"/>
  <c r="F19" i="4"/>
  <c r="E19" i="4"/>
  <c r="D19" i="4"/>
  <c r="C19" i="4"/>
  <c r="B19" i="4"/>
  <c r="L18" i="4"/>
  <c r="J21" i="4" s="1"/>
  <c r="H42" i="4"/>
  <c r="G42" i="4"/>
  <c r="F42" i="4"/>
  <c r="E42" i="4"/>
  <c r="D42" i="4"/>
  <c r="C42" i="4"/>
  <c r="B42" i="4"/>
  <c r="I42" i="4" s="1"/>
  <c r="I41" i="4"/>
  <c r="J44" i="4" s="1"/>
  <c r="E62" i="2" s="1"/>
  <c r="H41" i="4"/>
  <c r="G41" i="4"/>
  <c r="F41" i="4"/>
  <c r="E41" i="4"/>
  <c r="D41" i="4"/>
  <c r="C41" i="4"/>
  <c r="B41" i="4"/>
  <c r="L40" i="4"/>
  <c r="J43" i="4" s="1"/>
  <c r="H64" i="4"/>
  <c r="G64" i="4"/>
  <c r="F64" i="4"/>
  <c r="E64" i="4"/>
  <c r="D64" i="4"/>
  <c r="C64" i="4"/>
  <c r="B64" i="4"/>
  <c r="I64" i="4" s="1"/>
  <c r="I63" i="4"/>
  <c r="J66" i="4" s="1"/>
  <c r="E54" i="2" s="1"/>
  <c r="H63" i="4"/>
  <c r="G63" i="4"/>
  <c r="F63" i="4"/>
  <c r="E63" i="4"/>
  <c r="D63" i="4"/>
  <c r="C63" i="4"/>
  <c r="B63" i="4"/>
  <c r="L62" i="4"/>
  <c r="J65" i="4" s="1"/>
  <c r="H86" i="4"/>
  <c r="G86" i="4"/>
  <c r="F86" i="4"/>
  <c r="E86" i="4"/>
  <c r="D86" i="4"/>
  <c r="C86" i="4"/>
  <c r="B86" i="4"/>
  <c r="I86" i="4" s="1"/>
  <c r="I85" i="4"/>
  <c r="J88" i="4" s="1"/>
  <c r="H85" i="4"/>
  <c r="G85" i="4"/>
  <c r="F85" i="4"/>
  <c r="E85" i="4"/>
  <c r="D85" i="4"/>
  <c r="C85" i="4"/>
  <c r="B85" i="4"/>
  <c r="L84" i="4"/>
  <c r="J87" i="4" s="1"/>
  <c r="H108" i="4"/>
  <c r="G108" i="4"/>
  <c r="F108" i="4"/>
  <c r="E108" i="4"/>
  <c r="D108" i="4"/>
  <c r="C108" i="4"/>
  <c r="B108" i="4"/>
  <c r="I108" i="4" s="1"/>
  <c r="I107" i="4"/>
  <c r="J110" i="4" s="1"/>
  <c r="E55" i="2" s="1"/>
  <c r="H107" i="4"/>
  <c r="G107" i="4"/>
  <c r="F107" i="4"/>
  <c r="E107" i="4"/>
  <c r="D107" i="4"/>
  <c r="C107" i="4"/>
  <c r="B107" i="4"/>
  <c r="L106" i="4"/>
  <c r="J109" i="4" s="1"/>
  <c r="H131" i="4"/>
  <c r="B131" i="4"/>
  <c r="I131" i="4"/>
  <c r="I130" i="4"/>
  <c r="U129" i="4"/>
  <c r="T129" i="4"/>
  <c r="S129" i="4"/>
  <c r="R129" i="4"/>
  <c r="Q129" i="4"/>
  <c r="V129" i="4" s="1"/>
  <c r="U128" i="4"/>
  <c r="T128" i="4"/>
  <c r="V128" i="4" s="1"/>
  <c r="W131" i="4" s="1"/>
  <c r="E67" i="2" s="1"/>
  <c r="S128" i="4"/>
  <c r="R128" i="4"/>
  <c r="Q128" i="4"/>
  <c r="Y127" i="4"/>
  <c r="W130" i="4" s="1"/>
  <c r="U106" i="4"/>
  <c r="T106" i="4"/>
  <c r="S106" i="4"/>
  <c r="R106" i="4"/>
  <c r="Q106" i="4"/>
  <c r="V106" i="4" s="1"/>
  <c r="U105" i="4"/>
  <c r="T105" i="4"/>
  <c r="V105" i="4" s="1"/>
  <c r="W108" i="4" s="1"/>
  <c r="E58" i="2" s="1"/>
  <c r="S105" i="4"/>
  <c r="R105" i="4"/>
  <c r="Q105" i="4"/>
  <c r="Y104" i="4"/>
  <c r="W107" i="4" s="1"/>
  <c r="U84" i="4"/>
  <c r="T84" i="4"/>
  <c r="S84" i="4"/>
  <c r="R84" i="4"/>
  <c r="Q84" i="4"/>
  <c r="V84" i="4" s="1"/>
  <c r="U83" i="4"/>
  <c r="T83" i="4"/>
  <c r="V83" i="4" s="1"/>
  <c r="W86" i="4" s="1"/>
  <c r="E66" i="2" s="1"/>
  <c r="S83" i="4"/>
  <c r="R83" i="4"/>
  <c r="Q83" i="4"/>
  <c r="Y82" i="4"/>
  <c r="W85" i="4" s="1"/>
  <c r="U62" i="4"/>
  <c r="T62" i="4"/>
  <c r="S62" i="4"/>
  <c r="R62" i="4"/>
  <c r="Q62" i="4"/>
  <c r="V62" i="4" s="1"/>
  <c r="U61" i="4"/>
  <c r="T61" i="4"/>
  <c r="V61" i="4" s="1"/>
  <c r="S61" i="4"/>
  <c r="R61" i="4"/>
  <c r="Q61" i="4"/>
  <c r="Y60" i="4"/>
  <c r="W63" i="4" s="1"/>
  <c r="U40" i="4"/>
  <c r="T40" i="4"/>
  <c r="S40" i="4"/>
  <c r="R40" i="4"/>
  <c r="Q40" i="4"/>
  <c r="V40" i="4" s="1"/>
  <c r="U39" i="4"/>
  <c r="T39" i="4"/>
  <c r="V39" i="4" s="1"/>
  <c r="W42" i="4" s="1"/>
  <c r="E65" i="2" s="1"/>
  <c r="S39" i="4"/>
  <c r="R39" i="4"/>
  <c r="Q39" i="4"/>
  <c r="Y38" i="4"/>
  <c r="W41" i="4" s="1"/>
  <c r="AK21" i="4"/>
  <c r="AK20" i="4"/>
  <c r="V18" i="4"/>
  <c r="V17" i="4"/>
  <c r="AJ21" i="4"/>
  <c r="AI21" i="4"/>
  <c r="AH21" i="4"/>
  <c r="AG21" i="4"/>
  <c r="AF21" i="4"/>
  <c r="AE21" i="4"/>
  <c r="AD21" i="4"/>
  <c r="AC21" i="4"/>
  <c r="AJ20" i="4"/>
  <c r="AI20" i="4"/>
  <c r="AH20" i="4"/>
  <c r="AG20" i="4"/>
  <c r="AF20" i="4"/>
  <c r="AE20" i="4"/>
  <c r="AD20" i="4"/>
  <c r="AC20" i="4"/>
  <c r="AN19" i="4"/>
  <c r="AL22" i="4" s="1"/>
  <c r="AJ43" i="4"/>
  <c r="AI43" i="4"/>
  <c r="AH43" i="4"/>
  <c r="AG43" i="4"/>
  <c r="AF43" i="4"/>
  <c r="AE43" i="4"/>
  <c r="AD43" i="4"/>
  <c r="AC43" i="4"/>
  <c r="AK43" i="4" s="1"/>
  <c r="AJ42" i="4"/>
  <c r="AI42" i="4"/>
  <c r="AH42" i="4"/>
  <c r="AG42" i="4"/>
  <c r="AF42" i="4"/>
  <c r="AE42" i="4"/>
  <c r="AD42" i="4"/>
  <c r="AC42" i="4"/>
  <c r="AK42" i="4" s="1"/>
  <c r="AN41" i="4"/>
  <c r="AL44" i="4" s="1"/>
  <c r="AJ65" i="4"/>
  <c r="AI65" i="4"/>
  <c r="AH65" i="4"/>
  <c r="AG65" i="4"/>
  <c r="AF65" i="4"/>
  <c r="AE65" i="4"/>
  <c r="AD65" i="4"/>
  <c r="AC65" i="4"/>
  <c r="AK65" i="4" s="1"/>
  <c r="AJ64" i="4"/>
  <c r="AI64" i="4"/>
  <c r="AH64" i="4"/>
  <c r="AG64" i="4"/>
  <c r="AF64" i="4"/>
  <c r="AE64" i="4"/>
  <c r="AD64" i="4"/>
  <c r="AC64" i="4"/>
  <c r="AK64" i="4" s="1"/>
  <c r="AN63" i="4"/>
  <c r="AL66" i="4" s="1"/>
  <c r="AJ87" i="4"/>
  <c r="AI87" i="4"/>
  <c r="AH87" i="4"/>
  <c r="AG87" i="4"/>
  <c r="AF87" i="4"/>
  <c r="AE87" i="4"/>
  <c r="AD87" i="4"/>
  <c r="AC87" i="4"/>
  <c r="AK87" i="4" s="1"/>
  <c r="AJ86" i="4"/>
  <c r="AI86" i="4"/>
  <c r="AH86" i="4"/>
  <c r="AG86" i="4"/>
  <c r="AF86" i="4"/>
  <c r="AE86" i="4"/>
  <c r="AD86" i="4"/>
  <c r="AC86" i="4"/>
  <c r="AK86" i="4" s="1"/>
  <c r="AN85" i="4"/>
  <c r="AL88" i="4" s="1"/>
  <c r="AN107" i="4"/>
  <c r="AC108" i="4"/>
  <c r="AJ109" i="4"/>
  <c r="AI109" i="4"/>
  <c r="AH109" i="4"/>
  <c r="AG109" i="4"/>
  <c r="AF109" i="4"/>
  <c r="AE109" i="4"/>
  <c r="AD109" i="4"/>
  <c r="AC109" i="4"/>
  <c r="AK109" i="4" s="1"/>
  <c r="AJ108" i="4"/>
  <c r="AI108" i="4"/>
  <c r="AH108" i="4"/>
  <c r="AG108" i="4"/>
  <c r="AF108" i="4"/>
  <c r="AE108" i="4"/>
  <c r="AD108" i="4"/>
  <c r="AK108" i="4"/>
  <c r="AL110" i="4"/>
  <c r="AK132" i="4"/>
  <c r="AN130" i="4"/>
  <c r="AC131" i="4"/>
  <c r="AD131" i="4"/>
  <c r="AE131" i="4"/>
  <c r="AF131" i="4"/>
  <c r="AG131" i="4"/>
  <c r="AH131" i="4"/>
  <c r="AI131" i="4"/>
  <c r="AJ131" i="4"/>
  <c r="AK131" i="4"/>
  <c r="AC132" i="4"/>
  <c r="AD132" i="4"/>
  <c r="AE132" i="4"/>
  <c r="AF132" i="4"/>
  <c r="AG132" i="4"/>
  <c r="AH132" i="4"/>
  <c r="AI132" i="4"/>
  <c r="AJ132" i="4"/>
  <c r="AL133" i="4"/>
  <c r="AI327" i="1"/>
  <c r="AH327" i="1"/>
  <c r="AG327" i="1"/>
  <c r="AF327" i="1"/>
  <c r="AE327" i="1"/>
  <c r="AD327" i="1"/>
  <c r="AC327" i="1"/>
  <c r="AB327" i="1"/>
  <c r="AJ327" i="1" s="1"/>
  <c r="AI326" i="1"/>
  <c r="AH326" i="1"/>
  <c r="AG326" i="1"/>
  <c r="AF326" i="1"/>
  <c r="AE326" i="1"/>
  <c r="AD326" i="1"/>
  <c r="AC326" i="1"/>
  <c r="AB326" i="1"/>
  <c r="AJ326" i="1" s="1"/>
  <c r="AM325" i="1"/>
  <c r="AK328" i="1" s="1"/>
  <c r="AI307" i="1"/>
  <c r="AH307" i="1"/>
  <c r="AG307" i="1"/>
  <c r="AF307" i="1"/>
  <c r="AE307" i="1"/>
  <c r="AD307" i="1"/>
  <c r="AC307" i="1"/>
  <c r="AB307" i="1"/>
  <c r="AJ307" i="1" s="1"/>
  <c r="AI306" i="1"/>
  <c r="AH306" i="1"/>
  <c r="AG306" i="1"/>
  <c r="AF306" i="1"/>
  <c r="AE306" i="1"/>
  <c r="AD306" i="1"/>
  <c r="AC306" i="1"/>
  <c r="AB306" i="1"/>
  <c r="AJ306" i="1" s="1"/>
  <c r="AM305" i="1"/>
  <c r="AK308" i="1" s="1"/>
  <c r="AI287" i="1"/>
  <c r="AH287" i="1"/>
  <c r="AG287" i="1"/>
  <c r="AF287" i="1"/>
  <c r="AE287" i="1"/>
  <c r="AD287" i="1"/>
  <c r="AC287" i="1"/>
  <c r="AB287" i="1"/>
  <c r="AJ287" i="1" s="1"/>
  <c r="AI286" i="1"/>
  <c r="AH286" i="1"/>
  <c r="AG286" i="1"/>
  <c r="AF286" i="1"/>
  <c r="AE286" i="1"/>
  <c r="AD286" i="1"/>
  <c r="AC286" i="1"/>
  <c r="AB286" i="1"/>
  <c r="AJ286" i="1" s="1"/>
  <c r="AM285" i="1"/>
  <c r="AK288" i="1" s="1"/>
  <c r="AI267" i="1"/>
  <c r="AH267" i="1"/>
  <c r="AG267" i="1"/>
  <c r="AF267" i="1"/>
  <c r="AE267" i="1"/>
  <c r="AD267" i="1"/>
  <c r="AC267" i="1"/>
  <c r="AB267" i="1"/>
  <c r="AJ267" i="1" s="1"/>
  <c r="AI266" i="1"/>
  <c r="AH266" i="1"/>
  <c r="AG266" i="1"/>
  <c r="AF266" i="1"/>
  <c r="AE266" i="1"/>
  <c r="AD266" i="1"/>
  <c r="AC266" i="1"/>
  <c r="AB266" i="1"/>
  <c r="AJ266" i="1" s="1"/>
  <c r="AM265" i="1"/>
  <c r="AK268" i="1" s="1"/>
  <c r="AI245" i="1"/>
  <c r="AH245" i="1"/>
  <c r="AG245" i="1"/>
  <c r="AF245" i="1"/>
  <c r="AE245" i="1"/>
  <c r="AD245" i="1"/>
  <c r="AC245" i="1"/>
  <c r="AB245" i="1"/>
  <c r="AJ245" i="1" s="1"/>
  <c r="AI244" i="1"/>
  <c r="AH244" i="1"/>
  <c r="AG244" i="1"/>
  <c r="AF244" i="1"/>
  <c r="AE244" i="1"/>
  <c r="AD244" i="1"/>
  <c r="AC244" i="1"/>
  <c r="AB244" i="1"/>
  <c r="AJ244" i="1" s="1"/>
  <c r="AM243" i="1"/>
  <c r="AK246" i="1" s="1"/>
  <c r="AI225" i="1"/>
  <c r="AH225" i="1"/>
  <c r="AG225" i="1"/>
  <c r="AF225" i="1"/>
  <c r="AE225" i="1"/>
  <c r="AD225" i="1"/>
  <c r="AC225" i="1"/>
  <c r="AB225" i="1"/>
  <c r="AJ225" i="1" s="1"/>
  <c r="AI224" i="1"/>
  <c r="AH224" i="1"/>
  <c r="AG224" i="1"/>
  <c r="AF224" i="1"/>
  <c r="AE224" i="1"/>
  <c r="AD224" i="1"/>
  <c r="AC224" i="1"/>
  <c r="AB224" i="1"/>
  <c r="AJ224" i="1" s="1"/>
  <c r="AM223" i="1"/>
  <c r="AK226" i="1" s="1"/>
  <c r="AI205" i="1"/>
  <c r="AH205" i="1"/>
  <c r="AG205" i="1"/>
  <c r="AF205" i="1"/>
  <c r="AE205" i="1"/>
  <c r="AD205" i="1"/>
  <c r="AC205" i="1"/>
  <c r="AB205" i="1"/>
  <c r="AJ205" i="1" s="1"/>
  <c r="AI204" i="1"/>
  <c r="AH204" i="1"/>
  <c r="AG204" i="1"/>
  <c r="AF204" i="1"/>
  <c r="AE204" i="1"/>
  <c r="AD204" i="1"/>
  <c r="AC204" i="1"/>
  <c r="AB204" i="1"/>
  <c r="AJ204" i="1" s="1"/>
  <c r="AM203" i="1"/>
  <c r="AK206" i="1" s="1"/>
  <c r="AI185" i="1"/>
  <c r="AH185" i="1"/>
  <c r="AG185" i="1"/>
  <c r="AF185" i="1"/>
  <c r="AE185" i="1"/>
  <c r="AD185" i="1"/>
  <c r="AC185" i="1"/>
  <c r="AB185" i="1"/>
  <c r="AJ185" i="1" s="1"/>
  <c r="AI184" i="1"/>
  <c r="AH184" i="1"/>
  <c r="AG184" i="1"/>
  <c r="AF184" i="1"/>
  <c r="AE184" i="1"/>
  <c r="AD184" i="1"/>
  <c r="AC184" i="1"/>
  <c r="AB184" i="1"/>
  <c r="AJ184" i="1" s="1"/>
  <c r="AM183" i="1"/>
  <c r="AK186" i="1" s="1"/>
  <c r="AI163" i="1"/>
  <c r="AH163" i="1"/>
  <c r="AG163" i="1"/>
  <c r="AF163" i="1"/>
  <c r="AE163" i="1"/>
  <c r="AD163" i="1"/>
  <c r="AC163" i="1"/>
  <c r="AB163" i="1"/>
  <c r="AJ163" i="1" s="1"/>
  <c r="AI162" i="1"/>
  <c r="AH162" i="1"/>
  <c r="AG162" i="1"/>
  <c r="AF162" i="1"/>
  <c r="AE162" i="1"/>
  <c r="AD162" i="1"/>
  <c r="AC162" i="1"/>
  <c r="AB162" i="1"/>
  <c r="AJ162" i="1" s="1"/>
  <c r="AM161" i="1"/>
  <c r="AK164" i="1" s="1"/>
  <c r="AI143" i="1"/>
  <c r="AH143" i="1"/>
  <c r="AG143" i="1"/>
  <c r="AF143" i="1"/>
  <c r="AE143" i="1"/>
  <c r="AD143" i="1"/>
  <c r="AC143" i="1"/>
  <c r="AB143" i="1"/>
  <c r="AJ143" i="1" s="1"/>
  <c r="AI142" i="1"/>
  <c r="AH142" i="1"/>
  <c r="AG142" i="1"/>
  <c r="AF142" i="1"/>
  <c r="AE142" i="1"/>
  <c r="AD142" i="1"/>
  <c r="AC142" i="1"/>
  <c r="AB142" i="1"/>
  <c r="AJ142" i="1" s="1"/>
  <c r="AM141" i="1"/>
  <c r="AK144" i="1" s="1"/>
  <c r="AI123" i="1"/>
  <c r="AH123" i="1"/>
  <c r="AG123" i="1"/>
  <c r="AF123" i="1"/>
  <c r="AE123" i="1"/>
  <c r="AD123" i="1"/>
  <c r="AC123" i="1"/>
  <c r="AB123" i="1"/>
  <c r="AJ123" i="1" s="1"/>
  <c r="AI122" i="1"/>
  <c r="AH122" i="1"/>
  <c r="AG122" i="1"/>
  <c r="AF122" i="1"/>
  <c r="AE122" i="1"/>
  <c r="AD122" i="1"/>
  <c r="AC122" i="1"/>
  <c r="AB122" i="1"/>
  <c r="AJ122" i="1" s="1"/>
  <c r="AM121" i="1"/>
  <c r="AK124" i="1" s="1"/>
  <c r="AM101" i="1"/>
  <c r="AB102" i="1"/>
  <c r="AC102" i="1"/>
  <c r="AD102" i="1"/>
  <c r="AE102" i="1"/>
  <c r="AF102" i="1"/>
  <c r="AG102" i="1"/>
  <c r="AH102" i="1"/>
  <c r="AI102" i="1"/>
  <c r="AJ102" i="1"/>
  <c r="AB103" i="1"/>
  <c r="AJ103" i="1" s="1"/>
  <c r="AK105" i="1" s="1"/>
  <c r="AL104" i="1" s="1"/>
  <c r="AC103" i="1"/>
  <c r="AD103" i="1"/>
  <c r="AE103" i="1"/>
  <c r="AF103" i="1"/>
  <c r="AG103" i="1"/>
  <c r="AH103" i="1"/>
  <c r="AI103" i="1"/>
  <c r="AK104" i="1"/>
  <c r="AI81" i="1"/>
  <c r="AH81" i="1"/>
  <c r="AG81" i="1"/>
  <c r="AF81" i="1"/>
  <c r="AE81" i="1"/>
  <c r="AD81" i="1"/>
  <c r="AC81" i="1"/>
  <c r="AB81" i="1"/>
  <c r="AJ81" i="1" s="1"/>
  <c r="AI80" i="1"/>
  <c r="AH80" i="1"/>
  <c r="AG80" i="1"/>
  <c r="AF80" i="1"/>
  <c r="AE80" i="1"/>
  <c r="AD80" i="1"/>
  <c r="AC80" i="1"/>
  <c r="AB80" i="1"/>
  <c r="AJ80" i="1" s="1"/>
  <c r="AM79" i="1"/>
  <c r="AK82" i="1" s="1"/>
  <c r="AI61" i="1"/>
  <c r="AH61" i="1"/>
  <c r="AG61" i="1"/>
  <c r="AF61" i="1"/>
  <c r="AE61" i="1"/>
  <c r="AD61" i="1"/>
  <c r="AC61" i="1"/>
  <c r="AB61" i="1"/>
  <c r="AJ61" i="1" s="1"/>
  <c r="AI60" i="1"/>
  <c r="AH60" i="1"/>
  <c r="AG60" i="1"/>
  <c r="AF60" i="1"/>
  <c r="AE60" i="1"/>
  <c r="AD60" i="1"/>
  <c r="AC60" i="1"/>
  <c r="AB60" i="1"/>
  <c r="AJ60" i="1" s="1"/>
  <c r="AM59" i="1"/>
  <c r="AK62" i="1" s="1"/>
  <c r="AI41" i="1"/>
  <c r="AH41" i="1"/>
  <c r="AG41" i="1"/>
  <c r="AF41" i="1"/>
  <c r="AE41" i="1"/>
  <c r="AD41" i="1"/>
  <c r="AC41" i="1"/>
  <c r="AB41" i="1"/>
  <c r="AJ41" i="1" s="1"/>
  <c r="AI40" i="1"/>
  <c r="AH40" i="1"/>
  <c r="AG40" i="1"/>
  <c r="AF40" i="1"/>
  <c r="AE40" i="1"/>
  <c r="AD40" i="1"/>
  <c r="AC40" i="1"/>
  <c r="AB40" i="1"/>
  <c r="AJ40" i="1" s="1"/>
  <c r="AM39" i="1"/>
  <c r="AK42" i="1" s="1"/>
  <c r="AM19" i="1"/>
  <c r="AJ21" i="1"/>
  <c r="AJ20" i="1"/>
  <c r="AI21" i="1"/>
  <c r="T324" i="1"/>
  <c r="S324" i="1"/>
  <c r="R324" i="1"/>
  <c r="Q324" i="1"/>
  <c r="P324" i="1"/>
  <c r="U324" i="1" s="1"/>
  <c r="T323" i="1"/>
  <c r="S323" i="1"/>
  <c r="U323" i="1" s="1"/>
  <c r="V326" i="1" s="1"/>
  <c r="E46" i="2" s="1"/>
  <c r="R323" i="1"/>
  <c r="Q323" i="1"/>
  <c r="P323" i="1"/>
  <c r="X322" i="1"/>
  <c r="V325" i="1" s="1"/>
  <c r="T304" i="1"/>
  <c r="S304" i="1"/>
  <c r="R304" i="1"/>
  <c r="Q304" i="1"/>
  <c r="P304" i="1"/>
  <c r="U304" i="1" s="1"/>
  <c r="T303" i="1"/>
  <c r="S303" i="1"/>
  <c r="U303" i="1" s="1"/>
  <c r="V306" i="1" s="1"/>
  <c r="E45" i="2" s="1"/>
  <c r="R303" i="1"/>
  <c r="Q303" i="1"/>
  <c r="P303" i="1"/>
  <c r="X302" i="1"/>
  <c r="V305" i="1" s="1"/>
  <c r="T284" i="1"/>
  <c r="S284" i="1"/>
  <c r="R284" i="1"/>
  <c r="Q284" i="1"/>
  <c r="P284" i="1"/>
  <c r="U284" i="1" s="1"/>
  <c r="T283" i="1"/>
  <c r="S283" i="1"/>
  <c r="U283" i="1" s="1"/>
  <c r="V286" i="1" s="1"/>
  <c r="E44" i="2" s="1"/>
  <c r="R283" i="1"/>
  <c r="Q283" i="1"/>
  <c r="P283" i="1"/>
  <c r="X282" i="1"/>
  <c r="V285" i="1" s="1"/>
  <c r="T264" i="1"/>
  <c r="S264" i="1"/>
  <c r="R264" i="1"/>
  <c r="Q264" i="1"/>
  <c r="P264" i="1"/>
  <c r="U264" i="1" s="1"/>
  <c r="T263" i="1"/>
  <c r="S263" i="1"/>
  <c r="U263" i="1" s="1"/>
  <c r="V266" i="1" s="1"/>
  <c r="E43" i="2" s="1"/>
  <c r="R263" i="1"/>
  <c r="Q263" i="1"/>
  <c r="P263" i="1"/>
  <c r="X262" i="1"/>
  <c r="V265" i="1" s="1"/>
  <c r="T242" i="1"/>
  <c r="S242" i="1"/>
  <c r="R242" i="1"/>
  <c r="Q242" i="1"/>
  <c r="P242" i="1"/>
  <c r="U242" i="1" s="1"/>
  <c r="T241" i="1"/>
  <c r="S241" i="1"/>
  <c r="U241" i="1" s="1"/>
  <c r="V244" i="1" s="1"/>
  <c r="E34" i="2" s="1"/>
  <c r="R241" i="1"/>
  <c r="Q241" i="1"/>
  <c r="P241" i="1"/>
  <c r="X240" i="1"/>
  <c r="V243" i="1" s="1"/>
  <c r="T222" i="1"/>
  <c r="S222" i="1"/>
  <c r="R222" i="1"/>
  <c r="Q222" i="1"/>
  <c r="P222" i="1"/>
  <c r="U222" i="1" s="1"/>
  <c r="T221" i="1"/>
  <c r="S221" i="1"/>
  <c r="U221" i="1" s="1"/>
  <c r="V224" i="1" s="1"/>
  <c r="R221" i="1"/>
  <c r="Q221" i="1"/>
  <c r="P221" i="1"/>
  <c r="X220" i="1"/>
  <c r="V223" i="1" s="1"/>
  <c r="W223" i="1" s="1"/>
  <c r="T202" i="1"/>
  <c r="S202" i="1"/>
  <c r="R202" i="1"/>
  <c r="Q202" i="1"/>
  <c r="P202" i="1"/>
  <c r="U202" i="1" s="1"/>
  <c r="T201" i="1"/>
  <c r="S201" i="1"/>
  <c r="U201" i="1" s="1"/>
  <c r="V204" i="1" s="1"/>
  <c r="E32" i="2" s="1"/>
  <c r="R201" i="1"/>
  <c r="Q201" i="1"/>
  <c r="P201" i="1"/>
  <c r="X200" i="1"/>
  <c r="V203" i="1" s="1"/>
  <c r="T182" i="1"/>
  <c r="S182" i="1"/>
  <c r="R182" i="1"/>
  <c r="Q182" i="1"/>
  <c r="P182" i="1"/>
  <c r="U182" i="1" s="1"/>
  <c r="T181" i="1"/>
  <c r="S181" i="1"/>
  <c r="U181" i="1" s="1"/>
  <c r="V184" i="1" s="1"/>
  <c r="E31" i="2" s="1"/>
  <c r="R181" i="1"/>
  <c r="Q181" i="1"/>
  <c r="P181" i="1"/>
  <c r="X180" i="1"/>
  <c r="V183" i="1" s="1"/>
  <c r="T160" i="1"/>
  <c r="S160" i="1"/>
  <c r="R160" i="1"/>
  <c r="Q160" i="1"/>
  <c r="P160" i="1"/>
  <c r="U160" i="1" s="1"/>
  <c r="T159" i="1"/>
  <c r="S159" i="1"/>
  <c r="U159" i="1" s="1"/>
  <c r="V162" i="1" s="1"/>
  <c r="E22" i="2" s="1"/>
  <c r="R159" i="1"/>
  <c r="Q159" i="1"/>
  <c r="P159" i="1"/>
  <c r="X158" i="1"/>
  <c r="V161" i="1" s="1"/>
  <c r="T140" i="1"/>
  <c r="S140" i="1"/>
  <c r="R140" i="1"/>
  <c r="Q140" i="1"/>
  <c r="P140" i="1"/>
  <c r="U140" i="1" s="1"/>
  <c r="T139" i="1"/>
  <c r="S139" i="1"/>
  <c r="U139" i="1" s="1"/>
  <c r="V142" i="1" s="1"/>
  <c r="E21" i="2" s="1"/>
  <c r="R139" i="1"/>
  <c r="Q139" i="1"/>
  <c r="P139" i="1"/>
  <c r="X138" i="1"/>
  <c r="V141" i="1" s="1"/>
  <c r="T120" i="1"/>
  <c r="S120" i="1"/>
  <c r="R120" i="1"/>
  <c r="Q120" i="1"/>
  <c r="P120" i="1"/>
  <c r="U120" i="1" s="1"/>
  <c r="T119" i="1"/>
  <c r="S119" i="1"/>
  <c r="U119" i="1" s="1"/>
  <c r="V122" i="1" s="1"/>
  <c r="E20" i="2" s="1"/>
  <c r="R119" i="1"/>
  <c r="Q119" i="1"/>
  <c r="P119" i="1"/>
  <c r="X118" i="1"/>
  <c r="V121" i="1" s="1"/>
  <c r="T100" i="1"/>
  <c r="S100" i="1"/>
  <c r="R100" i="1"/>
  <c r="Q100" i="1"/>
  <c r="P100" i="1"/>
  <c r="U100" i="1" s="1"/>
  <c r="T99" i="1"/>
  <c r="S99" i="1"/>
  <c r="U99" i="1" s="1"/>
  <c r="V102" i="1" s="1"/>
  <c r="E19" i="2" s="1"/>
  <c r="R99" i="1"/>
  <c r="Q99" i="1"/>
  <c r="P99" i="1"/>
  <c r="X98" i="1"/>
  <c r="V101" i="1" s="1"/>
  <c r="T78" i="1"/>
  <c r="S78" i="1"/>
  <c r="R78" i="1"/>
  <c r="Q78" i="1"/>
  <c r="P78" i="1"/>
  <c r="U78" i="1" s="1"/>
  <c r="T77" i="1"/>
  <c r="S77" i="1"/>
  <c r="U77" i="1" s="1"/>
  <c r="V80" i="1" s="1"/>
  <c r="E10" i="2" s="1"/>
  <c r="R77" i="1"/>
  <c r="Q77" i="1"/>
  <c r="P77" i="1"/>
  <c r="X76" i="1"/>
  <c r="V79" i="1" s="1"/>
  <c r="T58" i="1"/>
  <c r="S58" i="1"/>
  <c r="R58" i="1"/>
  <c r="Q58" i="1"/>
  <c r="P58" i="1"/>
  <c r="U58" i="1" s="1"/>
  <c r="T57" i="1"/>
  <c r="S57" i="1"/>
  <c r="U57" i="1" s="1"/>
  <c r="V60" i="1" s="1"/>
  <c r="E9" i="2" s="1"/>
  <c r="R57" i="1"/>
  <c r="Q57" i="1"/>
  <c r="P57" i="1"/>
  <c r="X56" i="1"/>
  <c r="V59" i="1" s="1"/>
  <c r="T38" i="1"/>
  <c r="S38" i="1"/>
  <c r="R38" i="1"/>
  <c r="Q38" i="1"/>
  <c r="P38" i="1"/>
  <c r="U38" i="1" s="1"/>
  <c r="T37" i="1"/>
  <c r="S37" i="1"/>
  <c r="U37" i="1" s="1"/>
  <c r="V40" i="1" s="1"/>
  <c r="E8" i="2" s="1"/>
  <c r="R37" i="1"/>
  <c r="Q37" i="1"/>
  <c r="P37" i="1"/>
  <c r="X36" i="1"/>
  <c r="V39" i="1" s="1"/>
  <c r="X16" i="1"/>
  <c r="P18" i="1"/>
  <c r="P17" i="1"/>
  <c r="U18" i="1"/>
  <c r="U17" i="1"/>
  <c r="I20" i="1"/>
  <c r="I19" i="1"/>
  <c r="G324" i="1"/>
  <c r="E323" i="1"/>
  <c r="D323" i="1"/>
  <c r="C323" i="1"/>
  <c r="B323" i="1"/>
  <c r="F323" i="1" s="1"/>
  <c r="E322" i="1"/>
  <c r="D322" i="1"/>
  <c r="C322" i="1"/>
  <c r="F322" i="1" s="1"/>
  <c r="G325" i="1" s="1"/>
  <c r="B322" i="1"/>
  <c r="I321" i="1"/>
  <c r="E303" i="1"/>
  <c r="D303" i="1"/>
  <c r="C303" i="1"/>
  <c r="B303" i="1"/>
  <c r="F303" i="1" s="1"/>
  <c r="E302" i="1"/>
  <c r="D302" i="1"/>
  <c r="C302" i="1"/>
  <c r="F302" i="1" s="1"/>
  <c r="G305" i="1" s="1"/>
  <c r="B302" i="1"/>
  <c r="I301" i="1"/>
  <c r="G304" i="1" s="1"/>
  <c r="H304" i="1" s="1"/>
  <c r="E283" i="1"/>
  <c r="D283" i="1"/>
  <c r="C283" i="1"/>
  <c r="B283" i="1"/>
  <c r="F283" i="1" s="1"/>
  <c r="E282" i="1"/>
  <c r="D282" i="1"/>
  <c r="C282" i="1"/>
  <c r="F282" i="1" s="1"/>
  <c r="G285" i="1" s="1"/>
  <c r="B282" i="1"/>
  <c r="I281" i="1"/>
  <c r="G284" i="1" s="1"/>
  <c r="H284" i="1" s="1"/>
  <c r="B263" i="1"/>
  <c r="B262" i="1"/>
  <c r="H244" i="1"/>
  <c r="G244" i="1"/>
  <c r="F244" i="1"/>
  <c r="E244" i="1"/>
  <c r="D244" i="1"/>
  <c r="C244" i="1"/>
  <c r="B244" i="1"/>
  <c r="I244" i="1" s="1"/>
  <c r="I243" i="1"/>
  <c r="J246" i="1" s="1"/>
  <c r="H243" i="1"/>
  <c r="G243" i="1"/>
  <c r="F243" i="1"/>
  <c r="E243" i="1"/>
  <c r="D243" i="1"/>
  <c r="C243" i="1"/>
  <c r="B243" i="1"/>
  <c r="L242" i="1"/>
  <c r="J245" i="1" s="1"/>
  <c r="H224" i="1"/>
  <c r="G224" i="1"/>
  <c r="F224" i="1"/>
  <c r="E224" i="1"/>
  <c r="D224" i="1"/>
  <c r="C224" i="1"/>
  <c r="B224" i="1"/>
  <c r="I224" i="1" s="1"/>
  <c r="I223" i="1"/>
  <c r="H223" i="1"/>
  <c r="G223" i="1"/>
  <c r="F223" i="1"/>
  <c r="E223" i="1"/>
  <c r="D223" i="1"/>
  <c r="C223" i="1"/>
  <c r="B223" i="1"/>
  <c r="L222" i="1"/>
  <c r="J225" i="1" s="1"/>
  <c r="H204" i="1"/>
  <c r="G204" i="1"/>
  <c r="F204" i="1"/>
  <c r="E204" i="1"/>
  <c r="D204" i="1"/>
  <c r="C204" i="1"/>
  <c r="B204" i="1"/>
  <c r="I204" i="1" s="1"/>
  <c r="I203" i="1"/>
  <c r="J206" i="1" s="1"/>
  <c r="H203" i="1"/>
  <c r="G203" i="1"/>
  <c r="F203" i="1"/>
  <c r="E203" i="1"/>
  <c r="D203" i="1"/>
  <c r="C203" i="1"/>
  <c r="B203" i="1"/>
  <c r="L202" i="1"/>
  <c r="J205" i="1" s="1"/>
  <c r="H184" i="1"/>
  <c r="G184" i="1"/>
  <c r="F184" i="1"/>
  <c r="E184" i="1"/>
  <c r="D184" i="1"/>
  <c r="C184" i="1"/>
  <c r="B184" i="1"/>
  <c r="I184" i="1" s="1"/>
  <c r="I183" i="1"/>
  <c r="J186" i="1" s="1"/>
  <c r="H183" i="1"/>
  <c r="G183" i="1"/>
  <c r="F183" i="1"/>
  <c r="E183" i="1"/>
  <c r="D183" i="1"/>
  <c r="C183" i="1"/>
  <c r="B183" i="1"/>
  <c r="L182" i="1"/>
  <c r="J185" i="1" s="1"/>
  <c r="H162" i="1"/>
  <c r="G162" i="1"/>
  <c r="F162" i="1"/>
  <c r="E162" i="1"/>
  <c r="D162" i="1"/>
  <c r="C162" i="1"/>
  <c r="B162" i="1"/>
  <c r="I162" i="1" s="1"/>
  <c r="I161" i="1"/>
  <c r="J164" i="1" s="1"/>
  <c r="H161" i="1"/>
  <c r="G161" i="1"/>
  <c r="F161" i="1"/>
  <c r="E161" i="1"/>
  <c r="D161" i="1"/>
  <c r="C161" i="1"/>
  <c r="B161" i="1"/>
  <c r="L160" i="1"/>
  <c r="J163" i="1" s="1"/>
  <c r="H142" i="1"/>
  <c r="G142" i="1"/>
  <c r="F142" i="1"/>
  <c r="E142" i="1"/>
  <c r="D142" i="1"/>
  <c r="C142" i="1"/>
  <c r="B142" i="1"/>
  <c r="I142" i="1" s="1"/>
  <c r="I141" i="1"/>
  <c r="J144" i="1" s="1"/>
  <c r="H141" i="1"/>
  <c r="G141" i="1"/>
  <c r="F141" i="1"/>
  <c r="E141" i="1"/>
  <c r="D141" i="1"/>
  <c r="C141" i="1"/>
  <c r="B141" i="1"/>
  <c r="L140" i="1"/>
  <c r="J143" i="1" s="1"/>
  <c r="L120" i="1"/>
  <c r="H122" i="1"/>
  <c r="G122" i="1"/>
  <c r="F122" i="1"/>
  <c r="E122" i="1"/>
  <c r="D122" i="1"/>
  <c r="C122" i="1"/>
  <c r="B122" i="1"/>
  <c r="I122" i="1" s="1"/>
  <c r="I121" i="1"/>
  <c r="H121" i="1"/>
  <c r="G121" i="1"/>
  <c r="F121" i="1"/>
  <c r="E121" i="1"/>
  <c r="D121" i="1"/>
  <c r="C121" i="1"/>
  <c r="B121" i="1"/>
  <c r="J123" i="1"/>
  <c r="H102" i="1"/>
  <c r="G102" i="1"/>
  <c r="F102" i="1"/>
  <c r="E102" i="1"/>
  <c r="D102" i="1"/>
  <c r="C102" i="1"/>
  <c r="B102" i="1"/>
  <c r="I102" i="1" s="1"/>
  <c r="I101" i="1"/>
  <c r="J104" i="1" s="1"/>
  <c r="H101" i="1"/>
  <c r="G101" i="1"/>
  <c r="F101" i="1"/>
  <c r="E101" i="1"/>
  <c r="D101" i="1"/>
  <c r="C101" i="1"/>
  <c r="B101" i="1"/>
  <c r="L100" i="1"/>
  <c r="J103" i="1" s="1"/>
  <c r="H80" i="1"/>
  <c r="G80" i="1"/>
  <c r="F80" i="1"/>
  <c r="E80" i="1"/>
  <c r="D80" i="1"/>
  <c r="C80" i="1"/>
  <c r="B80" i="1"/>
  <c r="I80" i="1" s="1"/>
  <c r="H79" i="1"/>
  <c r="G79" i="1"/>
  <c r="F79" i="1"/>
  <c r="E79" i="1"/>
  <c r="D79" i="1"/>
  <c r="I79" i="1" s="1"/>
  <c r="J82" i="1" s="1"/>
  <c r="C79" i="1"/>
  <c r="B79" i="1"/>
  <c r="L78" i="1"/>
  <c r="J81" i="1" s="1"/>
  <c r="H60" i="1"/>
  <c r="G60" i="1"/>
  <c r="F60" i="1"/>
  <c r="E60" i="1"/>
  <c r="D60" i="1"/>
  <c r="C60" i="1"/>
  <c r="B60" i="1"/>
  <c r="I60" i="1" s="1"/>
  <c r="I59" i="1"/>
  <c r="J62" i="1" s="1"/>
  <c r="H59" i="1"/>
  <c r="G59" i="1"/>
  <c r="F59" i="1"/>
  <c r="E59" i="1"/>
  <c r="D59" i="1"/>
  <c r="C59" i="1"/>
  <c r="B59" i="1"/>
  <c r="L58" i="1"/>
  <c r="J61" i="1" s="1"/>
  <c r="H40" i="1"/>
  <c r="G40" i="1"/>
  <c r="F40" i="1"/>
  <c r="E40" i="1"/>
  <c r="D40" i="1"/>
  <c r="C40" i="1"/>
  <c r="B40" i="1"/>
  <c r="I40" i="1" s="1"/>
  <c r="I39" i="1"/>
  <c r="H39" i="1"/>
  <c r="G39" i="1"/>
  <c r="F39" i="1"/>
  <c r="E39" i="1"/>
  <c r="D39" i="1"/>
  <c r="C39" i="1"/>
  <c r="B39" i="1"/>
  <c r="L38" i="1"/>
  <c r="J41" i="1" s="1"/>
  <c r="H20" i="1"/>
  <c r="G20" i="1"/>
  <c r="F20" i="1"/>
  <c r="E20" i="1"/>
  <c r="D20" i="1"/>
  <c r="C20" i="1"/>
  <c r="B20" i="1"/>
  <c r="B19" i="1"/>
  <c r="H16" i="10"/>
  <c r="H15" i="10"/>
  <c r="H14" i="10"/>
  <c r="H12" i="10"/>
  <c r="H11" i="10"/>
  <c r="H10" i="10"/>
  <c r="H8" i="10"/>
  <c r="H7" i="10"/>
  <c r="H6" i="10"/>
  <c r="H3" i="10"/>
  <c r="H4" i="10"/>
  <c r="H2" i="10"/>
  <c r="D118" i="9"/>
  <c r="D10" i="9"/>
  <c r="E10" i="9" s="1"/>
  <c r="E118" i="9"/>
  <c r="X6" i="7"/>
  <c r="Y6" i="7"/>
  <c r="Z6" i="7"/>
  <c r="AA6" i="7" s="1"/>
  <c r="S7" i="7"/>
  <c r="U7" i="7" s="1"/>
  <c r="V7" i="7" s="1"/>
  <c r="T7" i="7"/>
  <c r="O50" i="6"/>
  <c r="J11" i="6"/>
  <c r="K11" i="6" s="1"/>
  <c r="Q11" i="6"/>
  <c r="R11" i="6"/>
  <c r="S11" i="6"/>
  <c r="J47" i="6"/>
  <c r="K47" i="6" s="1"/>
  <c r="L47" i="6"/>
  <c r="G47" i="6" s="1"/>
  <c r="N47" i="6"/>
  <c r="O47" i="6"/>
  <c r="Q47" i="6"/>
  <c r="R47" i="6"/>
  <c r="S47" i="6"/>
  <c r="L50" i="6"/>
  <c r="M50" i="6" s="1"/>
  <c r="D56" i="2"/>
  <c r="D64" i="2"/>
  <c r="Q13" i="1"/>
  <c r="K21" i="4" l="1"/>
  <c r="D53" i="2"/>
  <c r="S4" i="7" s="1"/>
  <c r="K43" i="4"/>
  <c r="D62" i="2"/>
  <c r="K65" i="4"/>
  <c r="D54" i="2"/>
  <c r="K87" i="4"/>
  <c r="E63" i="2"/>
  <c r="D63" i="2"/>
  <c r="K109" i="4"/>
  <c r="D55" i="2"/>
  <c r="X130" i="4"/>
  <c r="D67" i="2"/>
  <c r="D58" i="2"/>
  <c r="X107" i="4"/>
  <c r="X85" i="4"/>
  <c r="D66" i="2"/>
  <c r="D57" i="2"/>
  <c r="W64" i="4"/>
  <c r="E57" i="2" s="1"/>
  <c r="D65" i="2"/>
  <c r="X41" i="4"/>
  <c r="D59" i="2"/>
  <c r="AL23" i="4"/>
  <c r="E59" i="2" s="1"/>
  <c r="AL45" i="4"/>
  <c r="E68" i="2" s="1"/>
  <c r="AM44" i="4"/>
  <c r="D68" i="2"/>
  <c r="D60" i="2"/>
  <c r="AL67" i="4"/>
  <c r="E60" i="2" s="1"/>
  <c r="AL89" i="4"/>
  <c r="E69" i="2" s="1"/>
  <c r="AM88" i="4"/>
  <c r="D69" i="2"/>
  <c r="D61" i="2"/>
  <c r="AL111" i="4"/>
  <c r="E61" i="2" s="1"/>
  <c r="AL134" i="4"/>
  <c r="AM133" i="4" s="1"/>
  <c r="E70" i="2"/>
  <c r="D42" i="2"/>
  <c r="AK329" i="1"/>
  <c r="E42" i="2" s="1"/>
  <c r="AK309" i="1"/>
  <c r="E41" i="2" s="1"/>
  <c r="AL308" i="1"/>
  <c r="D41" i="2"/>
  <c r="D40" i="2"/>
  <c r="AK289" i="1"/>
  <c r="E40" i="2" s="1"/>
  <c r="AK269" i="1"/>
  <c r="E39" i="2" s="1"/>
  <c r="D39" i="2"/>
  <c r="AL268" i="1"/>
  <c r="D30" i="2"/>
  <c r="AK247" i="1"/>
  <c r="AL246" i="1" s="1"/>
  <c r="D29" i="2"/>
  <c r="AK227" i="1"/>
  <c r="E29" i="2" s="1"/>
  <c r="D28" i="2"/>
  <c r="AK207" i="1"/>
  <c r="E28" i="2" s="1"/>
  <c r="D27" i="2"/>
  <c r="AK187" i="1"/>
  <c r="E27" i="2" s="1"/>
  <c r="D18" i="2"/>
  <c r="AK165" i="1"/>
  <c r="E18" i="2" s="1"/>
  <c r="D17" i="2"/>
  <c r="D40" i="9" s="1"/>
  <c r="E40" i="9" s="1"/>
  <c r="AK145" i="1"/>
  <c r="AL144" i="1" s="1"/>
  <c r="AK125" i="1"/>
  <c r="AL124" i="1" s="1"/>
  <c r="J17" i="6"/>
  <c r="D16" i="2"/>
  <c r="E16" i="2"/>
  <c r="D15" i="2"/>
  <c r="E15" i="2"/>
  <c r="AK83" i="1"/>
  <c r="E6" i="2" s="1"/>
  <c r="D6" i="2"/>
  <c r="AL82" i="1"/>
  <c r="D5" i="2"/>
  <c r="AK63" i="1"/>
  <c r="E5" i="2" s="1"/>
  <c r="D4" i="2"/>
  <c r="AK43" i="1"/>
  <c r="E4" i="2" s="1"/>
  <c r="D46" i="2"/>
  <c r="W325" i="1"/>
  <c r="W305" i="1"/>
  <c r="D45" i="2"/>
  <c r="W285" i="1"/>
  <c r="D44" i="2"/>
  <c r="D43" i="2"/>
  <c r="W265" i="1"/>
  <c r="W243" i="1"/>
  <c r="D34" i="2"/>
  <c r="E33" i="2"/>
  <c r="D33" i="2"/>
  <c r="W203" i="1"/>
  <c r="D32" i="2"/>
  <c r="D31" i="2"/>
  <c r="W183" i="1"/>
  <c r="D22" i="2"/>
  <c r="W161" i="1"/>
  <c r="W141" i="1"/>
  <c r="D21" i="2"/>
  <c r="W121" i="1"/>
  <c r="D20" i="2"/>
  <c r="W101" i="1"/>
  <c r="D19" i="2"/>
  <c r="D10" i="2"/>
  <c r="W79" i="1"/>
  <c r="D9" i="2"/>
  <c r="W59" i="1"/>
  <c r="W39" i="1"/>
  <c r="D8" i="2"/>
  <c r="H319" i="1"/>
  <c r="K245" i="1"/>
  <c r="J226" i="1"/>
  <c r="K225" i="1"/>
  <c r="K205" i="1"/>
  <c r="K185" i="1"/>
  <c r="K163" i="1"/>
  <c r="K143" i="1"/>
  <c r="J124" i="1"/>
  <c r="K123" i="1"/>
  <c r="K103" i="1"/>
  <c r="K81" i="1"/>
  <c r="K61" i="1"/>
  <c r="J42" i="1"/>
  <c r="K41" i="1"/>
  <c r="T4" i="7"/>
  <c r="U4" i="7"/>
  <c r="V4" i="7" s="1"/>
  <c r="G6" i="7"/>
  <c r="M47" i="6"/>
  <c r="F50" i="6"/>
  <c r="G50" i="6"/>
  <c r="F47" i="6"/>
  <c r="X4" i="7" l="1"/>
  <c r="G62" i="2"/>
  <c r="H62" i="2" s="1"/>
  <c r="I62" i="2" s="1"/>
  <c r="G54" i="2"/>
  <c r="H54" i="2" s="1"/>
  <c r="I54" i="2" s="1"/>
  <c r="S5" i="7"/>
  <c r="X5" i="7"/>
  <c r="G63" i="2"/>
  <c r="H63" i="2" s="1"/>
  <c r="I63" i="2" s="1"/>
  <c r="G55" i="2"/>
  <c r="H55" i="2" s="1"/>
  <c r="I55" i="2" s="1"/>
  <c r="S6" i="7"/>
  <c r="G67" i="2"/>
  <c r="H67" i="2" s="1"/>
  <c r="I67" i="2" s="1"/>
  <c r="X9" i="7"/>
  <c r="S9" i="7"/>
  <c r="G58" i="2"/>
  <c r="H58" i="2" s="1"/>
  <c r="I58" i="2" s="1"/>
  <c r="X8" i="7"/>
  <c r="G66" i="2"/>
  <c r="H66" i="2" s="1"/>
  <c r="I66" i="2" s="1"/>
  <c r="X63" i="4"/>
  <c r="S8" i="7"/>
  <c r="G57" i="2"/>
  <c r="H57" i="2" s="1"/>
  <c r="I57" i="2" s="1"/>
  <c r="G65" i="2"/>
  <c r="H65" i="2" s="1"/>
  <c r="I65" i="2" s="1"/>
  <c r="X7" i="7"/>
  <c r="AM22" i="4"/>
  <c r="S10" i="7"/>
  <c r="G59" i="2"/>
  <c r="H59" i="2" s="1"/>
  <c r="I59" i="2" s="1"/>
  <c r="G68" i="2"/>
  <c r="H68" i="2" s="1"/>
  <c r="I68" i="2" s="1"/>
  <c r="X10" i="7"/>
  <c r="G60" i="2"/>
  <c r="H60" i="2" s="1"/>
  <c r="I60" i="2" s="1"/>
  <c r="S11" i="7"/>
  <c r="AM66" i="4"/>
  <c r="G69" i="2"/>
  <c r="H69" i="2" s="1"/>
  <c r="I69" i="2" s="1"/>
  <c r="X11" i="7"/>
  <c r="G61" i="2"/>
  <c r="H61" i="2" s="1"/>
  <c r="I61" i="2" s="1"/>
  <c r="S12" i="7"/>
  <c r="AM110" i="4"/>
  <c r="AL328" i="1"/>
  <c r="D113" i="9"/>
  <c r="E113" i="9" s="1"/>
  <c r="J42" i="6"/>
  <c r="D112" i="9"/>
  <c r="E112" i="9" s="1"/>
  <c r="J41" i="6"/>
  <c r="J40" i="6"/>
  <c r="D111" i="9"/>
  <c r="E111" i="9" s="1"/>
  <c r="AL288" i="1"/>
  <c r="J39" i="6"/>
  <c r="D110" i="9"/>
  <c r="E110" i="9" s="1"/>
  <c r="D77" i="9"/>
  <c r="E77" i="9" s="1"/>
  <c r="J30" i="6"/>
  <c r="AL226" i="1"/>
  <c r="J29" i="6"/>
  <c r="D76" i="9"/>
  <c r="E76" i="9" s="1"/>
  <c r="J28" i="6"/>
  <c r="D75" i="9"/>
  <c r="E75" i="9" s="1"/>
  <c r="AL206" i="1"/>
  <c r="D74" i="9"/>
  <c r="E74" i="9" s="1"/>
  <c r="J27" i="6"/>
  <c r="AL186" i="1"/>
  <c r="J18" i="6"/>
  <c r="D41" i="9"/>
  <c r="E41" i="9" s="1"/>
  <c r="AL164" i="1"/>
  <c r="E17" i="2"/>
  <c r="Q17" i="6"/>
  <c r="R17" i="6" s="1"/>
  <c r="S17" i="6" s="1"/>
  <c r="K17" i="6"/>
  <c r="J16" i="6"/>
  <c r="D39" i="9"/>
  <c r="E39" i="9" s="1"/>
  <c r="D38" i="9"/>
  <c r="E38" i="9" s="1"/>
  <c r="J15" i="6"/>
  <c r="D5" i="9"/>
  <c r="E5" i="9" s="1"/>
  <c r="J6" i="6"/>
  <c r="J5" i="6"/>
  <c r="D4" i="9"/>
  <c r="E4" i="9" s="1"/>
  <c r="AL62" i="1"/>
  <c r="J4" i="6"/>
  <c r="D3" i="9"/>
  <c r="E3" i="9" s="1"/>
  <c r="AL42" i="1"/>
  <c r="D117" i="9"/>
  <c r="E117" i="9" s="1"/>
  <c r="J46" i="6"/>
  <c r="J45" i="6"/>
  <c r="D116" i="9"/>
  <c r="E116" i="9" s="1"/>
  <c r="D115" i="9"/>
  <c r="E115" i="9" s="1"/>
  <c r="J44" i="6"/>
  <c r="D114" i="9"/>
  <c r="E114" i="9" s="1"/>
  <c r="J43" i="6"/>
  <c r="J34" i="6"/>
  <c r="D81" i="9"/>
  <c r="E81" i="9" s="1"/>
  <c r="J33" i="6"/>
  <c r="D80" i="9"/>
  <c r="E80" i="9" s="1"/>
  <c r="D79" i="9"/>
  <c r="E79" i="9" s="1"/>
  <c r="J32" i="6"/>
  <c r="D78" i="9"/>
  <c r="E78" i="9" s="1"/>
  <c r="J31" i="6"/>
  <c r="J22" i="6"/>
  <c r="D45" i="9"/>
  <c r="E45" i="9" s="1"/>
  <c r="J21" i="6"/>
  <c r="D44" i="9"/>
  <c r="E44" i="9" s="1"/>
  <c r="D43" i="9"/>
  <c r="E43" i="9" s="1"/>
  <c r="J20" i="6"/>
  <c r="D42" i="9"/>
  <c r="E42" i="9" s="1"/>
  <c r="J19" i="6"/>
  <c r="J10" i="6"/>
  <c r="D9" i="9"/>
  <c r="E9" i="9" s="1"/>
  <c r="D8" i="9"/>
  <c r="E8" i="9" s="1"/>
  <c r="J9" i="6"/>
  <c r="J8" i="6"/>
  <c r="D7" i="9"/>
  <c r="E7" i="9" s="1"/>
  <c r="D7" i="7"/>
  <c r="D4" i="7"/>
  <c r="E11" i="6"/>
  <c r="E47" i="6"/>
  <c r="Z4" i="7" l="1"/>
  <c r="AA4" i="7" s="1"/>
  <c r="I4" i="7"/>
  <c r="Y4" i="7"/>
  <c r="G4" i="7" s="1"/>
  <c r="T5" i="7"/>
  <c r="U5" i="7"/>
  <c r="V5" i="7" s="1"/>
  <c r="Z5" i="7"/>
  <c r="AA5" i="7" s="1"/>
  <c r="Y5" i="7"/>
  <c r="I5" i="7"/>
  <c r="T6" i="7"/>
  <c r="U6" i="7"/>
  <c r="V6" i="7" s="1"/>
  <c r="I6" i="7"/>
  <c r="Z9" i="7"/>
  <c r="AA9" i="7" s="1"/>
  <c r="Y9" i="7"/>
  <c r="G9" i="7" s="1"/>
  <c r="T9" i="7"/>
  <c r="U9" i="7"/>
  <c r="V9" i="7" s="1"/>
  <c r="I9" i="7"/>
  <c r="Z8" i="7"/>
  <c r="AA8" i="7" s="1"/>
  <c r="Y8" i="7"/>
  <c r="G8" i="7" s="1"/>
  <c r="T8" i="7"/>
  <c r="D8" i="7" s="1"/>
  <c r="U8" i="7"/>
  <c r="V8" i="7" s="1"/>
  <c r="I8" i="7"/>
  <c r="Y7" i="7"/>
  <c r="Z7" i="7"/>
  <c r="AA7" i="7" s="1"/>
  <c r="I7" i="7"/>
  <c r="T10" i="7"/>
  <c r="U10" i="7"/>
  <c r="V10" i="7" s="1"/>
  <c r="Y10" i="7"/>
  <c r="Z10" i="7"/>
  <c r="AA10" i="7" s="1"/>
  <c r="I10" i="7"/>
  <c r="T11" i="7"/>
  <c r="D11" i="7" s="1"/>
  <c r="U11" i="7"/>
  <c r="V11" i="7" s="1"/>
  <c r="Z11" i="7"/>
  <c r="AA11" i="7" s="1"/>
  <c r="Y11" i="7"/>
  <c r="G11" i="7" s="1"/>
  <c r="I11" i="7"/>
  <c r="T12" i="7"/>
  <c r="U12" i="7"/>
  <c r="V12" i="7" s="1"/>
  <c r="Q42" i="6"/>
  <c r="R42" i="6" s="1"/>
  <c r="S42" i="6" s="1"/>
  <c r="K42" i="6"/>
  <c r="E42" i="6" s="1"/>
  <c r="Q41" i="6"/>
  <c r="R41" i="6" s="1"/>
  <c r="S41" i="6" s="1"/>
  <c r="K41" i="6"/>
  <c r="E41" i="6" s="1"/>
  <c r="K40" i="6"/>
  <c r="Q40" i="6"/>
  <c r="R40" i="6" s="1"/>
  <c r="S40" i="6" s="1"/>
  <c r="K39" i="6"/>
  <c r="E39" i="6" s="1"/>
  <c r="Q39" i="6"/>
  <c r="R39" i="6" s="1"/>
  <c r="S39" i="6" s="1"/>
  <c r="Q30" i="6"/>
  <c r="R30" i="6" s="1"/>
  <c r="S30" i="6" s="1"/>
  <c r="K30" i="6"/>
  <c r="E30" i="6" s="1"/>
  <c r="Q29" i="6"/>
  <c r="R29" i="6" s="1"/>
  <c r="S29" i="6" s="1"/>
  <c r="K29" i="6"/>
  <c r="E29" i="6" s="1"/>
  <c r="K28" i="6"/>
  <c r="Q28" i="6"/>
  <c r="R28" i="6" s="1"/>
  <c r="S28" i="6" s="1"/>
  <c r="K27" i="6"/>
  <c r="Q27" i="6"/>
  <c r="R27" i="6" s="1"/>
  <c r="S27" i="6" s="1"/>
  <c r="Q18" i="6"/>
  <c r="R18" i="6" s="1"/>
  <c r="S18" i="6" s="1"/>
  <c r="K18" i="6"/>
  <c r="E18" i="6" s="1"/>
  <c r="E17" i="6"/>
  <c r="K16" i="6"/>
  <c r="Q16" i="6"/>
  <c r="R16" i="6" s="1"/>
  <c r="S16" i="6" s="1"/>
  <c r="K15" i="6"/>
  <c r="Q15" i="6"/>
  <c r="R15" i="6" s="1"/>
  <c r="S15" i="6" s="1"/>
  <c r="Q6" i="6"/>
  <c r="R6" i="6" s="1"/>
  <c r="S6" i="6" s="1"/>
  <c r="K6" i="6"/>
  <c r="E6" i="6" s="1"/>
  <c r="Q5" i="6"/>
  <c r="R5" i="6" s="1"/>
  <c r="S5" i="6" s="1"/>
  <c r="K5" i="6"/>
  <c r="Q4" i="6"/>
  <c r="R4" i="6" s="1"/>
  <c r="S4" i="6" s="1"/>
  <c r="K4" i="6"/>
  <c r="E4" i="6" s="1"/>
  <c r="Q46" i="6"/>
  <c r="R46" i="6" s="1"/>
  <c r="S46" i="6" s="1"/>
  <c r="K46" i="6"/>
  <c r="E46" i="6" s="1"/>
  <c r="Q45" i="6"/>
  <c r="R45" i="6" s="1"/>
  <c r="S45" i="6" s="1"/>
  <c r="K45" i="6"/>
  <c r="E45" i="6" s="1"/>
  <c r="K44" i="6"/>
  <c r="E44" i="6" s="1"/>
  <c r="Q44" i="6"/>
  <c r="R44" i="6" s="1"/>
  <c r="S44" i="6" s="1"/>
  <c r="K43" i="6"/>
  <c r="Q43" i="6"/>
  <c r="R43" i="6" s="1"/>
  <c r="S43" i="6" s="1"/>
  <c r="Q34" i="6"/>
  <c r="R34" i="6" s="1"/>
  <c r="S34" i="6" s="1"/>
  <c r="K34" i="6"/>
  <c r="E34" i="6" s="1"/>
  <c r="Q33" i="6"/>
  <c r="R33" i="6" s="1"/>
  <c r="S33" i="6" s="1"/>
  <c r="K33" i="6"/>
  <c r="Q32" i="6"/>
  <c r="R32" i="6" s="1"/>
  <c r="S32" i="6" s="1"/>
  <c r="K32" i="6"/>
  <c r="E32" i="6" s="1"/>
  <c r="K31" i="6"/>
  <c r="Q31" i="6"/>
  <c r="R31" i="6" s="1"/>
  <c r="S31" i="6" s="1"/>
  <c r="Q22" i="6"/>
  <c r="R22" i="6" s="1"/>
  <c r="S22" i="6" s="1"/>
  <c r="K22" i="6"/>
  <c r="E22" i="6" s="1"/>
  <c r="Q21" i="6"/>
  <c r="R21" i="6" s="1"/>
  <c r="S21" i="6" s="1"/>
  <c r="K21" i="6"/>
  <c r="Q20" i="6"/>
  <c r="R20" i="6" s="1"/>
  <c r="S20" i="6" s="1"/>
  <c r="K20" i="6"/>
  <c r="E20" i="6" s="1"/>
  <c r="K19" i="6"/>
  <c r="Q19" i="6"/>
  <c r="R19" i="6" s="1"/>
  <c r="S19" i="6" s="1"/>
  <c r="Q10" i="6"/>
  <c r="R10" i="6" s="1"/>
  <c r="S10" i="6" s="1"/>
  <c r="K10" i="6"/>
  <c r="E10" i="6" s="1"/>
  <c r="Q9" i="6"/>
  <c r="R9" i="6" s="1"/>
  <c r="S9" i="6" s="1"/>
  <c r="K9" i="6"/>
  <c r="K8" i="6"/>
  <c r="Q8" i="6"/>
  <c r="R8" i="6" s="1"/>
  <c r="S8" i="6" s="1"/>
  <c r="AI128" i="4"/>
  <c r="AH128" i="4"/>
  <c r="AG128" i="4"/>
  <c r="AF128" i="4"/>
  <c r="AJ127" i="4"/>
  <c r="AI127" i="4"/>
  <c r="AH127" i="4"/>
  <c r="AG127" i="4"/>
  <c r="AF127" i="4"/>
  <c r="AE127" i="4"/>
  <c r="AD127" i="4"/>
  <c r="AC127" i="4"/>
  <c r="H127" i="4"/>
  <c r="G127" i="4"/>
  <c r="D127" i="4"/>
  <c r="C127" i="4"/>
  <c r="B127" i="4"/>
  <c r="AK126" i="4"/>
  <c r="H126" i="4"/>
  <c r="G126" i="4"/>
  <c r="F126" i="4"/>
  <c r="E126" i="4"/>
  <c r="D126" i="4"/>
  <c r="C126" i="4"/>
  <c r="B126" i="4"/>
  <c r="AK125" i="4"/>
  <c r="U125" i="4"/>
  <c r="R125" i="4"/>
  <c r="Q125" i="4"/>
  <c r="I125" i="4"/>
  <c r="K125" i="4" s="1"/>
  <c r="J125" i="4" s="1"/>
  <c r="AL124" i="4"/>
  <c r="AK124" i="4"/>
  <c r="U124" i="4"/>
  <c r="T124" i="4"/>
  <c r="S124" i="4"/>
  <c r="R124" i="4"/>
  <c r="Q124" i="4"/>
  <c r="J124" i="4"/>
  <c r="I124" i="4"/>
  <c r="AL123" i="4"/>
  <c r="AK123" i="4"/>
  <c r="V123" i="4"/>
  <c r="X123" i="4" s="1"/>
  <c r="W123" i="4" s="1"/>
  <c r="I123" i="4"/>
  <c r="AL122" i="4"/>
  <c r="AK122" i="4"/>
  <c r="V122" i="4"/>
  <c r="I122" i="4"/>
  <c r="K122" i="4" s="1"/>
  <c r="J122" i="4" s="1"/>
  <c r="AK121" i="4"/>
  <c r="V121" i="4"/>
  <c r="J121" i="4"/>
  <c r="I121" i="4"/>
  <c r="AK120" i="4"/>
  <c r="W120" i="4"/>
  <c r="V120" i="4"/>
  <c r="J120" i="4"/>
  <c r="I120" i="4"/>
  <c r="AK119" i="4"/>
  <c r="AM119" i="4" s="1"/>
  <c r="AL119" i="4" s="1"/>
  <c r="V119" i="4"/>
  <c r="I119" i="4"/>
  <c r="AJ105" i="4"/>
  <c r="AI105" i="4"/>
  <c r="AH105" i="4"/>
  <c r="AG105" i="4"/>
  <c r="AF105" i="4"/>
  <c r="AE105" i="4"/>
  <c r="AJ104" i="4"/>
  <c r="AI104" i="4"/>
  <c r="AH104" i="4"/>
  <c r="AG104" i="4"/>
  <c r="AF104" i="4"/>
  <c r="AE104" i="4"/>
  <c r="AD104" i="4"/>
  <c r="AC104" i="4"/>
  <c r="H104" i="4"/>
  <c r="G104" i="4"/>
  <c r="D104" i="4"/>
  <c r="C104" i="4"/>
  <c r="B104" i="4"/>
  <c r="AK103" i="4"/>
  <c r="H103" i="4"/>
  <c r="G103" i="4"/>
  <c r="F103" i="4"/>
  <c r="E103" i="4"/>
  <c r="D103" i="4"/>
  <c r="C103" i="4"/>
  <c r="B103" i="4"/>
  <c r="AK102" i="4"/>
  <c r="U102" i="4"/>
  <c r="R102" i="4"/>
  <c r="Q102" i="4"/>
  <c r="I102" i="4"/>
  <c r="AK101" i="4"/>
  <c r="AM101" i="4" s="1"/>
  <c r="AL101" i="4" s="1"/>
  <c r="U101" i="4"/>
  <c r="T101" i="4"/>
  <c r="S101" i="4"/>
  <c r="R101" i="4"/>
  <c r="Q101" i="4"/>
  <c r="J101" i="4"/>
  <c r="I101" i="4"/>
  <c r="AK100" i="4"/>
  <c r="V100" i="4"/>
  <c r="I100" i="4"/>
  <c r="AL99" i="4"/>
  <c r="AK99" i="4"/>
  <c r="V99" i="4"/>
  <c r="X99" i="4" s="1"/>
  <c r="W99" i="4" s="1"/>
  <c r="I99" i="4"/>
  <c r="AK98" i="4"/>
  <c r="V98" i="4"/>
  <c r="J98" i="4"/>
  <c r="I98" i="4"/>
  <c r="AK97" i="4"/>
  <c r="AM97" i="4" s="1"/>
  <c r="AL97" i="4" s="1"/>
  <c r="W97" i="4"/>
  <c r="V97" i="4"/>
  <c r="I97" i="4"/>
  <c r="AL96" i="4"/>
  <c r="AK96" i="4"/>
  <c r="W96" i="4"/>
  <c r="V96" i="4"/>
  <c r="J96" i="4"/>
  <c r="I96" i="4"/>
  <c r="AH83" i="4"/>
  <c r="AD83" i="4"/>
  <c r="AC83" i="4"/>
  <c r="AJ82" i="4"/>
  <c r="AI82" i="4"/>
  <c r="AH82" i="4"/>
  <c r="AG82" i="4"/>
  <c r="AF82" i="4"/>
  <c r="AE82" i="4"/>
  <c r="AD82" i="4"/>
  <c r="AC82" i="4"/>
  <c r="H82" i="4"/>
  <c r="G82" i="4"/>
  <c r="F82" i="4"/>
  <c r="D82" i="4"/>
  <c r="C82" i="4"/>
  <c r="B82" i="4"/>
  <c r="AK81" i="4"/>
  <c r="AM81" i="4" s="1"/>
  <c r="AL81" i="4" s="1"/>
  <c r="H81" i="4"/>
  <c r="G81" i="4"/>
  <c r="F81" i="4"/>
  <c r="E81" i="4"/>
  <c r="D81" i="4"/>
  <c r="C81" i="4"/>
  <c r="B81" i="4"/>
  <c r="AK80" i="4"/>
  <c r="T80" i="4"/>
  <c r="Q80" i="4"/>
  <c r="I80" i="4"/>
  <c r="K80" i="4" s="1"/>
  <c r="J80" i="4" s="1"/>
  <c r="AL79" i="4"/>
  <c r="AK79" i="4"/>
  <c r="U79" i="4"/>
  <c r="T79" i="4"/>
  <c r="S79" i="4"/>
  <c r="R79" i="4"/>
  <c r="Q79" i="4"/>
  <c r="J79" i="4"/>
  <c r="I79" i="4"/>
  <c r="AL78" i="4"/>
  <c r="AK78" i="4"/>
  <c r="V78" i="4"/>
  <c r="X78" i="4" s="1"/>
  <c r="W78" i="4" s="1"/>
  <c r="J78" i="4"/>
  <c r="I78" i="4"/>
  <c r="AK77" i="4"/>
  <c r="AM77" i="4" s="1"/>
  <c r="AL77" i="4" s="1"/>
  <c r="W77" i="4"/>
  <c r="V77" i="4"/>
  <c r="I77" i="4"/>
  <c r="AK76" i="4"/>
  <c r="V76" i="4"/>
  <c r="X76" i="4" s="1"/>
  <c r="W76" i="4" s="1"/>
  <c r="J76" i="4"/>
  <c r="I76" i="4"/>
  <c r="AL75" i="4"/>
  <c r="AK75" i="4"/>
  <c r="W75" i="4"/>
  <c r="V75" i="4"/>
  <c r="J75" i="4"/>
  <c r="I75" i="4"/>
  <c r="AL74" i="4"/>
  <c r="AK74" i="4"/>
  <c r="V74" i="4"/>
  <c r="I74" i="4"/>
  <c r="K74" i="4" s="1"/>
  <c r="J74" i="4" s="1"/>
  <c r="AJ61" i="4"/>
  <c r="AH61" i="4"/>
  <c r="AD61" i="4"/>
  <c r="AC61" i="4"/>
  <c r="AJ60" i="4"/>
  <c r="AI60" i="4"/>
  <c r="AH60" i="4"/>
  <c r="AG60" i="4"/>
  <c r="AF60" i="4"/>
  <c r="AE60" i="4"/>
  <c r="AD60" i="4"/>
  <c r="AC60" i="4"/>
  <c r="H60" i="4"/>
  <c r="G60" i="4"/>
  <c r="F60" i="4"/>
  <c r="D60" i="4"/>
  <c r="C60" i="4"/>
  <c r="B60" i="4"/>
  <c r="AL59" i="4"/>
  <c r="AK59" i="4"/>
  <c r="H59" i="4"/>
  <c r="G59" i="4"/>
  <c r="F59" i="4"/>
  <c r="E59" i="4"/>
  <c r="D59" i="4"/>
  <c r="C59" i="4"/>
  <c r="B59" i="4"/>
  <c r="AK58" i="4"/>
  <c r="AM58" i="4" s="1"/>
  <c r="AL58" i="4" s="1"/>
  <c r="T58" i="4"/>
  <c r="Q58" i="4"/>
  <c r="I58" i="4"/>
  <c r="AL57" i="4"/>
  <c r="AK57" i="4"/>
  <c r="U57" i="4"/>
  <c r="T57" i="4"/>
  <c r="S57" i="4"/>
  <c r="R57" i="4"/>
  <c r="Q57" i="4"/>
  <c r="J57" i="4"/>
  <c r="I57" i="4"/>
  <c r="AL56" i="4"/>
  <c r="AK56" i="4"/>
  <c r="V56" i="4"/>
  <c r="X56" i="4" s="1"/>
  <c r="W56" i="4" s="1"/>
  <c r="J56" i="4"/>
  <c r="I56" i="4"/>
  <c r="AK55" i="4"/>
  <c r="AM55" i="4" s="1"/>
  <c r="AL55" i="4" s="1"/>
  <c r="W55" i="4"/>
  <c r="V55" i="4"/>
  <c r="I55" i="4"/>
  <c r="K55" i="4" s="1"/>
  <c r="J55" i="4" s="1"/>
  <c r="AK54" i="4"/>
  <c r="AM54" i="4" s="1"/>
  <c r="AL54" i="4" s="1"/>
  <c r="V54" i="4"/>
  <c r="J54" i="4"/>
  <c r="I54" i="4"/>
  <c r="AL53" i="4"/>
  <c r="AK53" i="4"/>
  <c r="W53" i="4"/>
  <c r="V53" i="4"/>
  <c r="J53" i="4"/>
  <c r="I53" i="4"/>
  <c r="AL52" i="4"/>
  <c r="AK52" i="4"/>
  <c r="V52" i="4"/>
  <c r="I52" i="4"/>
  <c r="K52" i="4" s="1"/>
  <c r="J52" i="4" s="1"/>
  <c r="AJ39" i="4"/>
  <c r="AI39" i="4"/>
  <c r="AH39" i="4"/>
  <c r="AG39" i="4"/>
  <c r="AJ38" i="4"/>
  <c r="AI38" i="4"/>
  <c r="AH38" i="4"/>
  <c r="AG38" i="4"/>
  <c r="AF38" i="4"/>
  <c r="AE38" i="4"/>
  <c r="AD38" i="4"/>
  <c r="AC38" i="4"/>
  <c r="H38" i="4"/>
  <c r="D38" i="4"/>
  <c r="C38" i="4"/>
  <c r="B38" i="4"/>
  <c r="AK37" i="4"/>
  <c r="AM37" i="4" s="1"/>
  <c r="AL37" i="4" s="1"/>
  <c r="H37" i="4"/>
  <c r="G37" i="4"/>
  <c r="F37" i="4"/>
  <c r="E37" i="4"/>
  <c r="AK36" i="4"/>
  <c r="AM36" i="4" s="1"/>
  <c r="AL36" i="4" s="1"/>
  <c r="U36" i="4"/>
  <c r="R36" i="4"/>
  <c r="Q36" i="4"/>
  <c r="I36" i="4"/>
  <c r="AK35" i="4"/>
  <c r="U35" i="4"/>
  <c r="T35" i="4"/>
  <c r="S35" i="4"/>
  <c r="R35" i="4"/>
  <c r="Q35" i="4"/>
  <c r="J35" i="4"/>
  <c r="I35" i="4"/>
  <c r="AL34" i="4"/>
  <c r="AK34" i="4"/>
  <c r="V34" i="4"/>
  <c r="X34" i="4" s="1"/>
  <c r="W34" i="4" s="1"/>
  <c r="I34" i="4"/>
  <c r="AK33" i="4"/>
  <c r="V33" i="4"/>
  <c r="X33" i="4" s="1"/>
  <c r="W33" i="4" s="1"/>
  <c r="I33" i="4"/>
  <c r="AK32" i="4"/>
  <c r="AM32" i="4" s="1"/>
  <c r="AL32" i="4" s="1"/>
  <c r="V32" i="4"/>
  <c r="J32" i="4"/>
  <c r="I32" i="4"/>
  <c r="AK31" i="4"/>
  <c r="W31" i="4"/>
  <c r="V31" i="4"/>
  <c r="I31" i="4"/>
  <c r="AK30" i="4"/>
  <c r="V30" i="4"/>
  <c r="X30" i="4" s="1"/>
  <c r="W30" i="4" s="1"/>
  <c r="I30" i="4"/>
  <c r="AJ17" i="4"/>
  <c r="AI17" i="4"/>
  <c r="AH17" i="4"/>
  <c r="AG17" i="4"/>
  <c r="AE17" i="4"/>
  <c r="AJ16" i="4"/>
  <c r="AI16" i="4"/>
  <c r="AH16" i="4"/>
  <c r="AG16" i="4"/>
  <c r="AF16" i="4"/>
  <c r="AE16" i="4"/>
  <c r="AD16" i="4"/>
  <c r="AC16" i="4"/>
  <c r="H16" i="4"/>
  <c r="F16" i="4"/>
  <c r="D16" i="4"/>
  <c r="C16" i="4"/>
  <c r="B16" i="4"/>
  <c r="AK15" i="4"/>
  <c r="AM15" i="4" s="1"/>
  <c r="AL15" i="4" s="1"/>
  <c r="H15" i="4"/>
  <c r="G15" i="4"/>
  <c r="F15" i="4"/>
  <c r="E15" i="4"/>
  <c r="D15" i="4"/>
  <c r="C15" i="4"/>
  <c r="B15" i="4"/>
  <c r="AL14" i="4"/>
  <c r="AK14" i="4"/>
  <c r="U14" i="4"/>
  <c r="R14" i="4"/>
  <c r="Q14" i="4"/>
  <c r="J14" i="4"/>
  <c r="I14" i="4"/>
  <c r="AL13" i="4"/>
  <c r="AK13" i="4"/>
  <c r="U13" i="4"/>
  <c r="T13" i="4"/>
  <c r="S13" i="4"/>
  <c r="R13" i="4"/>
  <c r="Q13" i="4"/>
  <c r="J13" i="4"/>
  <c r="I13" i="4"/>
  <c r="AL12" i="4"/>
  <c r="AK12" i="4"/>
  <c r="W12" i="4"/>
  <c r="V12" i="4"/>
  <c r="I12" i="4"/>
  <c r="K12" i="4" s="1"/>
  <c r="J12" i="4" s="1"/>
  <c r="AK11" i="4"/>
  <c r="V11" i="4"/>
  <c r="I11" i="4"/>
  <c r="K11" i="4" s="1"/>
  <c r="J11" i="4" s="1"/>
  <c r="AK10" i="4"/>
  <c r="V10" i="4"/>
  <c r="X10" i="4" s="1"/>
  <c r="W10" i="4" s="1"/>
  <c r="J10" i="4"/>
  <c r="I10" i="4"/>
  <c r="AK9" i="4"/>
  <c r="AM9" i="4" s="1"/>
  <c r="AL9" i="4" s="1"/>
  <c r="W9" i="4"/>
  <c r="V9" i="4"/>
  <c r="I9" i="4"/>
  <c r="K9" i="4" s="1"/>
  <c r="J9" i="4" s="1"/>
  <c r="AK8" i="4"/>
  <c r="V8" i="4"/>
  <c r="I8" i="4"/>
  <c r="K8" i="4" s="1"/>
  <c r="J8" i="4" s="1"/>
  <c r="D5" i="7" l="1"/>
  <c r="G5" i="7"/>
  <c r="D6" i="7"/>
  <c r="D9" i="7"/>
  <c r="G7" i="7"/>
  <c r="D10" i="7"/>
  <c r="G10" i="7"/>
  <c r="D12" i="7"/>
  <c r="E40" i="6"/>
  <c r="E28" i="6"/>
  <c r="E27" i="6"/>
  <c r="E16" i="6"/>
  <c r="E15" i="6"/>
  <c r="E5" i="6"/>
  <c r="E43" i="6"/>
  <c r="E33" i="6"/>
  <c r="E31" i="6"/>
  <c r="E21" i="6"/>
  <c r="E19" i="6"/>
  <c r="E9" i="6"/>
  <c r="E8" i="6"/>
  <c r="R59" i="4"/>
  <c r="R58" i="4" s="1"/>
  <c r="S59" i="4"/>
  <c r="S58" i="4" s="1"/>
  <c r="R18" i="4"/>
  <c r="R17" i="4"/>
  <c r="Q18" i="4"/>
  <c r="Q17" i="4"/>
  <c r="S15" i="4"/>
  <c r="S14" i="4" s="1"/>
  <c r="S17" i="4"/>
  <c r="S18" i="4"/>
  <c r="S37" i="4"/>
  <c r="S36" i="4" s="1"/>
  <c r="U59" i="4"/>
  <c r="U58" i="4" s="1"/>
  <c r="R81" i="4"/>
  <c r="R80" i="4" s="1"/>
  <c r="U18" i="4"/>
  <c r="U17" i="4"/>
  <c r="S81" i="4"/>
  <c r="S80" i="4" s="1"/>
  <c r="T18" i="4"/>
  <c r="T17" i="4"/>
  <c r="T37" i="4"/>
  <c r="T36" i="4" s="1"/>
  <c r="U81" i="4"/>
  <c r="U80" i="4" s="1"/>
  <c r="H130" i="4"/>
  <c r="AF62" i="4"/>
  <c r="AF61" i="4" s="1"/>
  <c r="E83" i="4"/>
  <c r="E82" i="4" s="1"/>
  <c r="AC40" i="4"/>
  <c r="AC39" i="4" s="1"/>
  <c r="AI62" i="4"/>
  <c r="AI61" i="4" s="1"/>
  <c r="AC106" i="4"/>
  <c r="AC105" i="4" s="1"/>
  <c r="K31" i="4"/>
  <c r="J31" i="4" s="1"/>
  <c r="AD40" i="4"/>
  <c r="AD39" i="4" s="1"/>
  <c r="S103" i="4"/>
  <c r="S102" i="4" s="1"/>
  <c r="E105" i="4"/>
  <c r="E104" i="4" s="1"/>
  <c r="AD106" i="4"/>
  <c r="AD105" i="4" s="1"/>
  <c r="AF84" i="4"/>
  <c r="AF83" i="4" s="1"/>
  <c r="T103" i="4"/>
  <c r="T102" i="4" s="1"/>
  <c r="F105" i="4"/>
  <c r="F104" i="4" s="1"/>
  <c r="B130" i="4"/>
  <c r="AF40" i="4"/>
  <c r="AF39" i="4" s="1"/>
  <c r="C130" i="4"/>
  <c r="C131" i="4"/>
  <c r="F39" i="4"/>
  <c r="F38" i="4" s="1"/>
  <c r="S126" i="4"/>
  <c r="S125" i="4" s="1"/>
  <c r="D131" i="4"/>
  <c r="D130" i="4"/>
  <c r="AD18" i="4"/>
  <c r="AD17" i="4" s="1"/>
  <c r="AI84" i="4"/>
  <c r="AI83" i="4" s="1"/>
  <c r="T126" i="4"/>
  <c r="T125" i="4" s="1"/>
  <c r="E131" i="4"/>
  <c r="E130" i="4"/>
  <c r="AD129" i="4"/>
  <c r="AD128" i="4" s="1"/>
  <c r="AE40" i="4"/>
  <c r="AE39" i="4" s="1"/>
  <c r="AJ84" i="4"/>
  <c r="AJ83" i="4" s="1"/>
  <c r="F128" i="4"/>
  <c r="F127" i="4" s="1"/>
  <c r="F130" i="4"/>
  <c r="F131" i="4"/>
  <c r="AF18" i="4"/>
  <c r="AF17" i="4" s="1"/>
  <c r="G130" i="4"/>
  <c r="G131" i="4"/>
  <c r="AK16" i="4"/>
  <c r="V13" i="4"/>
  <c r="Y16" i="4" s="1"/>
  <c r="W19" i="4" s="1"/>
  <c r="V79" i="4"/>
  <c r="AK82" i="4"/>
  <c r="K77" i="4"/>
  <c r="J77" i="4" s="1"/>
  <c r="E17" i="4"/>
  <c r="E16" i="4" s="1"/>
  <c r="I81" i="4"/>
  <c r="K100" i="4"/>
  <c r="J100" i="4" s="1"/>
  <c r="AM35" i="4"/>
  <c r="AL35" i="4" s="1"/>
  <c r="AM80" i="4"/>
  <c r="AL80" i="4" s="1"/>
  <c r="V124" i="4"/>
  <c r="AC18" i="4"/>
  <c r="AC17" i="4" s="1"/>
  <c r="K97" i="4"/>
  <c r="J97" i="4" s="1"/>
  <c r="I126" i="4"/>
  <c r="L129" i="4" s="1"/>
  <c r="AC129" i="4"/>
  <c r="AC128" i="4" s="1"/>
  <c r="AM125" i="4"/>
  <c r="AL125" i="4" s="1"/>
  <c r="AJ129" i="4"/>
  <c r="AJ128" i="4" s="1"/>
  <c r="V35" i="4"/>
  <c r="K33" i="4"/>
  <c r="J33" i="4" s="1"/>
  <c r="K34" i="4"/>
  <c r="J34" i="4" s="1"/>
  <c r="X98" i="4"/>
  <c r="W98" i="4" s="1"/>
  <c r="X52" i="4"/>
  <c r="W52" i="4" s="1"/>
  <c r="AM76" i="4"/>
  <c r="AL76" i="4" s="1"/>
  <c r="K123" i="4"/>
  <c r="J123" i="4" s="1"/>
  <c r="I15" i="4"/>
  <c r="X100" i="4"/>
  <c r="W100" i="4" s="1"/>
  <c r="AM30" i="4"/>
  <c r="AL30" i="4" s="1"/>
  <c r="G39" i="4"/>
  <c r="G38" i="4" s="1"/>
  <c r="V57" i="4"/>
  <c r="I59" i="4"/>
  <c r="AM100" i="4"/>
  <c r="AL100" i="4" s="1"/>
  <c r="AK104" i="4"/>
  <c r="X15" i="4"/>
  <c r="X81" i="4"/>
  <c r="AM31" i="4"/>
  <c r="AL31" i="4" s="1"/>
  <c r="AK38" i="4"/>
  <c r="AE62" i="4"/>
  <c r="AE61" i="4" s="1"/>
  <c r="AK60" i="4"/>
  <c r="AK127" i="4"/>
  <c r="AE129" i="4"/>
  <c r="AE128" i="4" s="1"/>
  <c r="AM8" i="4"/>
  <c r="AL8" i="4" s="1"/>
  <c r="X32" i="4"/>
  <c r="W32" i="4" s="1"/>
  <c r="X8" i="4"/>
  <c r="W8" i="4" s="1"/>
  <c r="K30" i="4"/>
  <c r="J30" i="4" s="1"/>
  <c r="AE84" i="4"/>
  <c r="AE83" i="4" s="1"/>
  <c r="V101" i="4"/>
  <c r="AM11" i="4"/>
  <c r="AL11" i="4" s="1"/>
  <c r="G17" i="4"/>
  <c r="G16" i="4" s="1"/>
  <c r="X122" i="4"/>
  <c r="W122" i="4" s="1"/>
  <c r="X119" i="4"/>
  <c r="W119" i="4" s="1"/>
  <c r="AM103" i="4"/>
  <c r="AL103" i="4" s="1"/>
  <c r="AM10" i="4"/>
  <c r="AL10" i="4" s="1"/>
  <c r="I37" i="4"/>
  <c r="AM121" i="4"/>
  <c r="AL121" i="4" s="1"/>
  <c r="T15" i="4"/>
  <c r="T14" i="4" s="1"/>
  <c r="E39" i="4"/>
  <c r="E38" i="4" s="1"/>
  <c r="AG62" i="4"/>
  <c r="AG61" i="4" s="1"/>
  <c r="AG84" i="4"/>
  <c r="AG83" i="4" s="1"/>
  <c r="K99" i="4"/>
  <c r="J99" i="4" s="1"/>
  <c r="K102" i="4"/>
  <c r="J102" i="4" s="1"/>
  <c r="I103" i="4"/>
  <c r="AM120" i="4"/>
  <c r="AL120" i="4" s="1"/>
  <c r="AM33" i="4"/>
  <c r="AL33" i="4" s="1"/>
  <c r="K36" i="4"/>
  <c r="J36" i="4" s="1"/>
  <c r="X54" i="4"/>
  <c r="W54" i="4" s="1"/>
  <c r="X74" i="4"/>
  <c r="W74" i="4" s="1"/>
  <c r="AM102" i="4"/>
  <c r="AL102" i="4" s="1"/>
  <c r="K119" i="4"/>
  <c r="J119" i="4" s="1"/>
  <c r="X121" i="4"/>
  <c r="W121" i="4" s="1"/>
  <c r="AM126" i="4"/>
  <c r="AL126" i="4" s="1"/>
  <c r="K58" i="4"/>
  <c r="J58" i="4" s="1"/>
  <c r="E61" i="4"/>
  <c r="E60" i="4" s="1"/>
  <c r="AM98" i="4"/>
  <c r="AL98" i="4" s="1"/>
  <c r="X11" i="4"/>
  <c r="W11" i="4" s="1"/>
  <c r="E128" i="4"/>
  <c r="E127" i="4" s="1"/>
  <c r="X36" i="4" l="1"/>
  <c r="X37" i="4"/>
  <c r="X59" i="4"/>
  <c r="AM106" i="4"/>
  <c r="X103" i="4"/>
  <c r="K83" i="4"/>
  <c r="AM84" i="4"/>
  <c r="D70" i="2"/>
  <c r="AM129" i="4"/>
  <c r="K61" i="4"/>
  <c r="K39" i="4"/>
  <c r="X125" i="4"/>
  <c r="X126" i="4"/>
  <c r="AM62" i="4"/>
  <c r="J132" i="4"/>
  <c r="K128" i="4"/>
  <c r="K105" i="4"/>
  <c r="K17" i="4"/>
  <c r="AM18" i="4"/>
  <c r="AM40" i="4"/>
  <c r="G70" i="2" l="1"/>
  <c r="H70" i="2" s="1"/>
  <c r="I70" i="2" s="1"/>
  <c r="X12" i="7"/>
  <c r="X58" i="4"/>
  <c r="K60" i="4"/>
  <c r="K82" i="4"/>
  <c r="J133" i="4"/>
  <c r="E64" i="2" s="1"/>
  <c r="G64" i="2" s="1"/>
  <c r="H64" i="2" s="1"/>
  <c r="I64" i="2" s="1"/>
  <c r="X80" i="4"/>
  <c r="W20" i="4"/>
  <c r="AM83" i="4"/>
  <c r="K132" i="4"/>
  <c r="K127" i="4" s="1"/>
  <c r="AM128" i="4"/>
  <c r="K38" i="4"/>
  <c r="X102" i="4"/>
  <c r="K16" i="4"/>
  <c r="AM17" i="4"/>
  <c r="AM61" i="4"/>
  <c r="AM105" i="4"/>
  <c r="AM39" i="4"/>
  <c r="K104" i="4"/>
  <c r="X19" i="4" l="1"/>
  <c r="X14" i="4" s="1"/>
  <c r="E56" i="2"/>
  <c r="G56" i="2" s="1"/>
  <c r="H56" i="2" s="1"/>
  <c r="I56" i="2" s="1"/>
  <c r="Z12" i="7"/>
  <c r="AA12" i="7" s="1"/>
  <c r="Y12" i="7"/>
  <c r="G12" i="7" s="1"/>
  <c r="I12" i="7"/>
  <c r="K61" i="2"/>
  <c r="J61" i="2"/>
  <c r="N12" i="7" s="1"/>
  <c r="K69" i="2"/>
  <c r="J69" i="2"/>
  <c r="Q11" i="7" s="1"/>
  <c r="J60" i="2"/>
  <c r="N11" i="7" s="1"/>
  <c r="K60" i="2"/>
  <c r="J68" i="2"/>
  <c r="Q10" i="7" s="1"/>
  <c r="K68" i="2"/>
  <c r="K59" i="2"/>
  <c r="J59" i="2"/>
  <c r="N10" i="7" s="1"/>
  <c r="J70" i="2"/>
  <c r="Q12" i="7" s="1"/>
  <c r="K70" i="2"/>
  <c r="L10" i="7" l="1"/>
  <c r="M10" i="7"/>
  <c r="E10" i="7" s="1"/>
  <c r="O10" i="7"/>
  <c r="J10" i="7" s="1"/>
  <c r="P10" i="7"/>
  <c r="H10" i="7" s="1"/>
  <c r="L11" i="7"/>
  <c r="M11" i="7"/>
  <c r="E11" i="7" s="1"/>
  <c r="O11" i="7"/>
  <c r="P11" i="7"/>
  <c r="H11" i="7" s="1"/>
  <c r="M12" i="7"/>
  <c r="E12" i="7" s="1"/>
  <c r="L12" i="7"/>
  <c r="O12" i="7"/>
  <c r="J12" i="7" s="1"/>
  <c r="P12" i="7"/>
  <c r="H12" i="7" s="1"/>
  <c r="AI323" i="1"/>
  <c r="AH323" i="1"/>
  <c r="AG323" i="1"/>
  <c r="AF323" i="1"/>
  <c r="AD323" i="1"/>
  <c r="AC323" i="1"/>
  <c r="AB323" i="1"/>
  <c r="AI322" i="1"/>
  <c r="AH322" i="1"/>
  <c r="AG322" i="1"/>
  <c r="AF322" i="1"/>
  <c r="AE322" i="1"/>
  <c r="AD322" i="1"/>
  <c r="AC322" i="1"/>
  <c r="AB322" i="1"/>
  <c r="AK321" i="1"/>
  <c r="AJ321" i="1"/>
  <c r="AK320" i="1"/>
  <c r="AJ320" i="1"/>
  <c r="S320" i="1"/>
  <c r="Q320" i="1"/>
  <c r="P320" i="1"/>
  <c r="AK319" i="1"/>
  <c r="AJ319" i="1"/>
  <c r="T319" i="1"/>
  <c r="S319" i="1"/>
  <c r="R319" i="1"/>
  <c r="Q319" i="1"/>
  <c r="P319" i="1"/>
  <c r="AK318" i="1"/>
  <c r="AJ318" i="1"/>
  <c r="V318" i="1"/>
  <c r="U318" i="1"/>
  <c r="F318" i="1"/>
  <c r="D50" i="2" s="1"/>
  <c r="AJ317" i="1"/>
  <c r="V317" i="1"/>
  <c r="U317" i="1"/>
  <c r="F317" i="1"/>
  <c r="AK316" i="1"/>
  <c r="AJ316" i="1"/>
  <c r="U316" i="1"/>
  <c r="F316" i="1"/>
  <c r="AK315" i="1"/>
  <c r="AJ315" i="1"/>
  <c r="V315" i="1"/>
  <c r="U315" i="1"/>
  <c r="F315" i="1"/>
  <c r="AK314" i="1"/>
  <c r="AJ314" i="1"/>
  <c r="V314" i="1"/>
  <c r="U314" i="1"/>
  <c r="F314" i="1"/>
  <c r="AI303" i="1"/>
  <c r="AH303" i="1"/>
  <c r="AG303" i="1"/>
  <c r="AF303" i="1"/>
  <c r="AC303" i="1"/>
  <c r="AB303" i="1"/>
  <c r="AI302" i="1"/>
  <c r="AH302" i="1"/>
  <c r="AG302" i="1"/>
  <c r="AF302" i="1"/>
  <c r="AE302" i="1"/>
  <c r="AD302" i="1"/>
  <c r="AC302" i="1"/>
  <c r="AB302" i="1"/>
  <c r="AK301" i="1"/>
  <c r="AJ301" i="1"/>
  <c r="AK300" i="1"/>
  <c r="AJ300" i="1"/>
  <c r="S300" i="1"/>
  <c r="Q300" i="1"/>
  <c r="P300" i="1"/>
  <c r="C300" i="1"/>
  <c r="C299" i="1" s="1"/>
  <c r="AK299" i="1"/>
  <c r="AJ299" i="1"/>
  <c r="T299" i="1"/>
  <c r="S299" i="1"/>
  <c r="R299" i="1"/>
  <c r="Q299" i="1"/>
  <c r="P299" i="1"/>
  <c r="AK298" i="1"/>
  <c r="AJ298" i="1"/>
  <c r="V298" i="1"/>
  <c r="U298" i="1"/>
  <c r="F298" i="1"/>
  <c r="AJ297" i="1"/>
  <c r="AL297" i="1" s="1"/>
  <c r="AK297" i="1" s="1"/>
  <c r="V297" i="1"/>
  <c r="U297" i="1"/>
  <c r="F297" i="1"/>
  <c r="AK296" i="1"/>
  <c r="AJ296" i="1"/>
  <c r="U296" i="1"/>
  <c r="F296" i="1"/>
  <c r="AK295" i="1"/>
  <c r="AJ295" i="1"/>
  <c r="V295" i="1"/>
  <c r="U295" i="1"/>
  <c r="F295" i="1"/>
  <c r="AK294" i="1"/>
  <c r="AJ294" i="1"/>
  <c r="U294" i="1"/>
  <c r="H294" i="1"/>
  <c r="F294" i="1"/>
  <c r="AI283" i="1"/>
  <c r="AH283" i="1"/>
  <c r="AG283" i="1"/>
  <c r="AF283" i="1"/>
  <c r="AC283" i="1"/>
  <c r="AB283" i="1"/>
  <c r="AI282" i="1"/>
  <c r="AH282" i="1"/>
  <c r="AG282" i="1"/>
  <c r="AF282" i="1"/>
  <c r="AE282" i="1"/>
  <c r="AD282" i="1"/>
  <c r="AC282" i="1"/>
  <c r="AB282" i="1"/>
  <c r="AJ281" i="1"/>
  <c r="AL281" i="1" s="1"/>
  <c r="AK281" i="1" s="1"/>
  <c r="AK280" i="1"/>
  <c r="AJ280" i="1"/>
  <c r="S280" i="1"/>
  <c r="Q280" i="1"/>
  <c r="P280" i="1"/>
  <c r="C280" i="1"/>
  <c r="C279" i="1" s="1"/>
  <c r="AK279" i="1"/>
  <c r="AJ279" i="1"/>
  <c r="T279" i="1"/>
  <c r="S279" i="1"/>
  <c r="R279" i="1"/>
  <c r="Q279" i="1"/>
  <c r="P279" i="1"/>
  <c r="AK278" i="1"/>
  <c r="AJ278" i="1"/>
  <c r="U278" i="1"/>
  <c r="F278" i="1"/>
  <c r="AJ277" i="1"/>
  <c r="V277" i="1"/>
  <c r="U277" i="1"/>
  <c r="H277" i="1"/>
  <c r="F277" i="1"/>
  <c r="AK276" i="1"/>
  <c r="AJ276" i="1"/>
  <c r="U276" i="1"/>
  <c r="F276" i="1"/>
  <c r="AK275" i="1"/>
  <c r="AJ275" i="1"/>
  <c r="V275" i="1"/>
  <c r="U275" i="1"/>
  <c r="F275" i="1"/>
  <c r="AK274" i="1"/>
  <c r="AJ274" i="1"/>
  <c r="U274" i="1"/>
  <c r="W274" i="1" s="1"/>
  <c r="V274" i="1" s="1"/>
  <c r="H274" i="1"/>
  <c r="F274" i="1"/>
  <c r="AI263" i="1"/>
  <c r="AH263" i="1"/>
  <c r="AG263" i="1"/>
  <c r="AF263" i="1"/>
  <c r="AC263" i="1"/>
  <c r="AB263" i="1"/>
  <c r="AI262" i="1"/>
  <c r="AH262" i="1"/>
  <c r="AG262" i="1"/>
  <c r="AF262" i="1"/>
  <c r="AE262" i="1"/>
  <c r="AD262" i="1"/>
  <c r="AC262" i="1"/>
  <c r="AB262" i="1"/>
  <c r="AJ261" i="1"/>
  <c r="AL261" i="1" s="1"/>
  <c r="AK261" i="1" s="1"/>
  <c r="AK260" i="1"/>
  <c r="AJ260" i="1"/>
  <c r="S260" i="1"/>
  <c r="Q260" i="1"/>
  <c r="P260" i="1"/>
  <c r="C260" i="1"/>
  <c r="C259" i="1" s="1"/>
  <c r="AK259" i="1"/>
  <c r="AJ259" i="1"/>
  <c r="T259" i="1"/>
  <c r="S259" i="1"/>
  <c r="R259" i="1"/>
  <c r="Q259" i="1"/>
  <c r="P259" i="1"/>
  <c r="AJ258" i="1"/>
  <c r="U258" i="1"/>
  <c r="F258" i="1"/>
  <c r="I261" i="1" s="1"/>
  <c r="AJ257" i="1"/>
  <c r="AL257" i="1" s="1"/>
  <c r="AK257" i="1" s="1"/>
  <c r="U257" i="1"/>
  <c r="H257" i="1"/>
  <c r="F257" i="1"/>
  <c r="E262" i="1" s="1"/>
  <c r="AK256" i="1"/>
  <c r="AJ256" i="1"/>
  <c r="U256" i="1"/>
  <c r="H256" i="1"/>
  <c r="F256" i="1"/>
  <c r="D262" i="1" s="1"/>
  <c r="AK255" i="1"/>
  <c r="AJ255" i="1"/>
  <c r="V255" i="1"/>
  <c r="U255" i="1"/>
  <c r="H255" i="1"/>
  <c r="F255" i="1"/>
  <c r="C262" i="1" s="1"/>
  <c r="AK254" i="1"/>
  <c r="AJ254" i="1"/>
  <c r="U254" i="1"/>
  <c r="H254" i="1"/>
  <c r="F254" i="1"/>
  <c r="AI241" i="1"/>
  <c r="AH241" i="1"/>
  <c r="AG241" i="1"/>
  <c r="AF241" i="1"/>
  <c r="AE241" i="1"/>
  <c r="AI240" i="1"/>
  <c r="AH240" i="1"/>
  <c r="AG240" i="1"/>
  <c r="AF240" i="1"/>
  <c r="AE240" i="1"/>
  <c r="AD240" i="1"/>
  <c r="AC240" i="1"/>
  <c r="AB240" i="1"/>
  <c r="H240" i="1"/>
  <c r="G240" i="1"/>
  <c r="C240" i="1"/>
  <c r="B240" i="1"/>
  <c r="AJ239" i="1"/>
  <c r="H239" i="1"/>
  <c r="G239" i="1"/>
  <c r="F239" i="1"/>
  <c r="E239" i="1"/>
  <c r="D239" i="1"/>
  <c r="C239" i="1"/>
  <c r="B239" i="1"/>
  <c r="AK238" i="1"/>
  <c r="AJ238" i="1"/>
  <c r="T238" i="1"/>
  <c r="Q238" i="1"/>
  <c r="P238" i="1"/>
  <c r="I238" i="1"/>
  <c r="AK237" i="1"/>
  <c r="AJ237" i="1"/>
  <c r="T237" i="1"/>
  <c r="S237" i="1"/>
  <c r="R237" i="1"/>
  <c r="Q237" i="1"/>
  <c r="P237" i="1"/>
  <c r="J237" i="1"/>
  <c r="I237" i="1"/>
  <c r="AJ236" i="1"/>
  <c r="U236" i="1"/>
  <c r="W236" i="1" s="1"/>
  <c r="V236" i="1" s="1"/>
  <c r="I236" i="1"/>
  <c r="AK235" i="1"/>
  <c r="AJ235" i="1"/>
  <c r="U235" i="1"/>
  <c r="I235" i="1"/>
  <c r="AJ234" i="1"/>
  <c r="U234" i="1"/>
  <c r="J234" i="1"/>
  <c r="I234" i="1"/>
  <c r="AK233" i="1"/>
  <c r="AJ233" i="1"/>
  <c r="V233" i="1"/>
  <c r="U233" i="1"/>
  <c r="J233" i="1"/>
  <c r="I233" i="1"/>
  <c r="AK232" i="1"/>
  <c r="AJ232" i="1"/>
  <c r="V232" i="1"/>
  <c r="U232" i="1"/>
  <c r="K232" i="1"/>
  <c r="J232" i="1" s="1"/>
  <c r="I232" i="1"/>
  <c r="AI221" i="1"/>
  <c r="AH221" i="1"/>
  <c r="AG221" i="1"/>
  <c r="AF221" i="1"/>
  <c r="AE221" i="1"/>
  <c r="AI220" i="1"/>
  <c r="AH220" i="1"/>
  <c r="AG220" i="1"/>
  <c r="AF220" i="1"/>
  <c r="AE220" i="1"/>
  <c r="AD220" i="1"/>
  <c r="AC220" i="1"/>
  <c r="AB220" i="1"/>
  <c r="H220" i="1"/>
  <c r="G220" i="1"/>
  <c r="C220" i="1"/>
  <c r="B220" i="1"/>
  <c r="AJ219" i="1"/>
  <c r="H219" i="1"/>
  <c r="G219" i="1"/>
  <c r="F219" i="1"/>
  <c r="E219" i="1"/>
  <c r="D219" i="1"/>
  <c r="C219" i="1"/>
  <c r="B219" i="1"/>
  <c r="AJ218" i="1"/>
  <c r="AL218" i="1" s="1"/>
  <c r="AK218" i="1" s="1"/>
  <c r="T218" i="1"/>
  <c r="Q218" i="1"/>
  <c r="P218" i="1"/>
  <c r="I218" i="1"/>
  <c r="AK217" i="1"/>
  <c r="AJ217" i="1"/>
  <c r="T217" i="1"/>
  <c r="S217" i="1"/>
  <c r="R217" i="1"/>
  <c r="Q217" i="1"/>
  <c r="P217" i="1"/>
  <c r="J217" i="1"/>
  <c r="I217" i="1"/>
  <c r="AJ216" i="1"/>
  <c r="U216" i="1"/>
  <c r="W216" i="1" s="1"/>
  <c r="V216" i="1" s="1"/>
  <c r="I216" i="1"/>
  <c r="AK215" i="1"/>
  <c r="AJ215" i="1"/>
  <c r="U215" i="1"/>
  <c r="I215" i="1"/>
  <c r="AJ214" i="1"/>
  <c r="U214" i="1"/>
  <c r="W214" i="1" s="1"/>
  <c r="V214" i="1" s="1"/>
  <c r="J214" i="1"/>
  <c r="I214" i="1"/>
  <c r="AJ213" i="1"/>
  <c r="V213" i="1"/>
  <c r="U213" i="1"/>
  <c r="J213" i="1"/>
  <c r="I213" i="1"/>
  <c r="AK212" i="1"/>
  <c r="AJ212" i="1"/>
  <c r="U212" i="1"/>
  <c r="K212" i="1"/>
  <c r="J212" i="1" s="1"/>
  <c r="I212" i="1"/>
  <c r="AH201" i="1"/>
  <c r="AG201" i="1"/>
  <c r="AF201" i="1"/>
  <c r="AE201" i="1"/>
  <c r="AI200" i="1"/>
  <c r="AH200" i="1"/>
  <c r="AG200" i="1"/>
  <c r="AF200" i="1"/>
  <c r="AE200" i="1"/>
  <c r="AD200" i="1"/>
  <c r="AC200" i="1"/>
  <c r="AB200" i="1"/>
  <c r="H200" i="1"/>
  <c r="G200" i="1"/>
  <c r="C200" i="1"/>
  <c r="B200" i="1"/>
  <c r="AJ199" i="1"/>
  <c r="H199" i="1"/>
  <c r="G199" i="1"/>
  <c r="F199" i="1"/>
  <c r="E199" i="1"/>
  <c r="D199" i="1"/>
  <c r="C199" i="1"/>
  <c r="B199" i="1"/>
  <c r="AJ198" i="1"/>
  <c r="T198" i="1"/>
  <c r="Q198" i="1"/>
  <c r="P198" i="1"/>
  <c r="I198" i="1"/>
  <c r="AK197" i="1"/>
  <c r="AJ197" i="1"/>
  <c r="T197" i="1"/>
  <c r="S197" i="1"/>
  <c r="R197" i="1"/>
  <c r="Q197" i="1"/>
  <c r="P197" i="1"/>
  <c r="J197" i="1"/>
  <c r="I197" i="1"/>
  <c r="AJ196" i="1"/>
  <c r="U196" i="1"/>
  <c r="I196" i="1"/>
  <c r="AK195" i="1"/>
  <c r="AJ195" i="1"/>
  <c r="U195" i="1"/>
  <c r="W195" i="1" s="1"/>
  <c r="V195" i="1" s="1"/>
  <c r="I195" i="1"/>
  <c r="AJ194" i="1"/>
  <c r="U194" i="1"/>
  <c r="I194" i="1"/>
  <c r="AJ193" i="1"/>
  <c r="AL193" i="1" s="1"/>
  <c r="AK193" i="1" s="1"/>
  <c r="V193" i="1"/>
  <c r="U193" i="1"/>
  <c r="J193" i="1"/>
  <c r="I193" i="1"/>
  <c r="AJ192" i="1"/>
  <c r="U192" i="1"/>
  <c r="K192" i="1"/>
  <c r="J192" i="1" s="1"/>
  <c r="I192" i="1"/>
  <c r="AI181" i="1"/>
  <c r="AH181" i="1"/>
  <c r="AG181" i="1"/>
  <c r="AF181" i="1"/>
  <c r="AE181" i="1"/>
  <c r="AI180" i="1"/>
  <c r="AH180" i="1"/>
  <c r="AG180" i="1"/>
  <c r="AF180" i="1"/>
  <c r="AE180" i="1"/>
  <c r="AD180" i="1"/>
  <c r="AC180" i="1"/>
  <c r="AB180" i="1"/>
  <c r="H180" i="1"/>
  <c r="G180" i="1"/>
  <c r="C180" i="1"/>
  <c r="B180" i="1"/>
  <c r="AJ179" i="1"/>
  <c r="AL179" i="1" s="1"/>
  <c r="AK179" i="1" s="1"/>
  <c r="H179" i="1"/>
  <c r="G179" i="1"/>
  <c r="F179" i="1"/>
  <c r="E179" i="1"/>
  <c r="D179" i="1"/>
  <c r="C179" i="1"/>
  <c r="B179" i="1"/>
  <c r="AJ178" i="1"/>
  <c r="T178" i="1"/>
  <c r="Q178" i="1"/>
  <c r="P178" i="1"/>
  <c r="I178" i="1"/>
  <c r="AJ177" i="1"/>
  <c r="AL177" i="1" s="1"/>
  <c r="AK177" i="1" s="1"/>
  <c r="T177" i="1"/>
  <c r="S177" i="1"/>
  <c r="R177" i="1"/>
  <c r="Q177" i="1"/>
  <c r="P177" i="1"/>
  <c r="J177" i="1"/>
  <c r="I177" i="1"/>
  <c r="AJ176" i="1"/>
  <c r="U176" i="1"/>
  <c r="I176" i="1"/>
  <c r="AK175" i="1"/>
  <c r="AJ175" i="1"/>
  <c r="U175" i="1"/>
  <c r="W175" i="1" s="1"/>
  <c r="V175" i="1" s="1"/>
  <c r="I175" i="1"/>
  <c r="AJ174" i="1"/>
  <c r="U174" i="1"/>
  <c r="I174" i="1"/>
  <c r="AJ173" i="1"/>
  <c r="V173" i="1"/>
  <c r="U173" i="1"/>
  <c r="J173" i="1"/>
  <c r="I173" i="1"/>
  <c r="AJ172" i="1"/>
  <c r="AL172" i="1" s="1"/>
  <c r="AK172" i="1" s="1"/>
  <c r="U172" i="1"/>
  <c r="K172" i="1"/>
  <c r="J172" i="1" s="1"/>
  <c r="I172" i="1"/>
  <c r="AG159" i="1"/>
  <c r="AC159" i="1"/>
  <c r="AB159" i="1"/>
  <c r="AI158" i="1"/>
  <c r="AH158" i="1"/>
  <c r="AG158" i="1"/>
  <c r="AF158" i="1"/>
  <c r="AE158" i="1"/>
  <c r="AD158" i="1"/>
  <c r="AC158" i="1"/>
  <c r="AB158" i="1"/>
  <c r="H158" i="1"/>
  <c r="G158" i="1"/>
  <c r="F158" i="1"/>
  <c r="D158" i="1"/>
  <c r="B158" i="1"/>
  <c r="AJ157" i="1"/>
  <c r="AL157" i="1" s="1"/>
  <c r="AK157" i="1" s="1"/>
  <c r="H157" i="1"/>
  <c r="G157" i="1"/>
  <c r="F157" i="1"/>
  <c r="E157" i="1"/>
  <c r="D157" i="1"/>
  <c r="C157" i="1"/>
  <c r="B157" i="1"/>
  <c r="AJ156" i="1"/>
  <c r="S156" i="1"/>
  <c r="P156" i="1"/>
  <c r="I156" i="1"/>
  <c r="AK155" i="1"/>
  <c r="AJ155" i="1"/>
  <c r="T155" i="1"/>
  <c r="S155" i="1"/>
  <c r="R155" i="1"/>
  <c r="Q155" i="1"/>
  <c r="P155" i="1"/>
  <c r="J155" i="1"/>
  <c r="I155" i="1"/>
  <c r="AK154" i="1"/>
  <c r="AJ154" i="1"/>
  <c r="U154" i="1"/>
  <c r="J154" i="1"/>
  <c r="I154" i="1"/>
  <c r="AJ153" i="1"/>
  <c r="V153" i="1"/>
  <c r="U153" i="1"/>
  <c r="I153" i="1"/>
  <c r="AJ152" i="1"/>
  <c r="U152" i="1"/>
  <c r="J152" i="1"/>
  <c r="I152" i="1"/>
  <c r="AK151" i="1"/>
  <c r="AJ151" i="1"/>
  <c r="U151" i="1"/>
  <c r="W151" i="1" s="1"/>
  <c r="V151" i="1" s="1"/>
  <c r="I151" i="1"/>
  <c r="AK150" i="1"/>
  <c r="AJ150" i="1"/>
  <c r="U150" i="1"/>
  <c r="K150" i="1"/>
  <c r="J150" i="1" s="1"/>
  <c r="I150" i="1"/>
  <c r="AG139" i="1"/>
  <c r="AC139" i="1"/>
  <c r="AB139" i="1"/>
  <c r="AI138" i="1"/>
  <c r="AH138" i="1"/>
  <c r="AG138" i="1"/>
  <c r="AF138" i="1"/>
  <c r="AE138" i="1"/>
  <c r="AD138" i="1"/>
  <c r="AC138" i="1"/>
  <c r="AB138" i="1"/>
  <c r="H138" i="1"/>
  <c r="G138" i="1"/>
  <c r="F138" i="1"/>
  <c r="D138" i="1"/>
  <c r="B138" i="1"/>
  <c r="AJ137" i="1"/>
  <c r="H137" i="1"/>
  <c r="G137" i="1"/>
  <c r="F137" i="1"/>
  <c r="E137" i="1"/>
  <c r="D137" i="1"/>
  <c r="C137" i="1"/>
  <c r="B137" i="1"/>
  <c r="AJ136" i="1"/>
  <c r="S136" i="1"/>
  <c r="P136" i="1"/>
  <c r="I136" i="1"/>
  <c r="AK135" i="1"/>
  <c r="AJ135" i="1"/>
  <c r="T135" i="1"/>
  <c r="S135" i="1"/>
  <c r="R135" i="1"/>
  <c r="Q135" i="1"/>
  <c r="P135" i="1"/>
  <c r="J135" i="1"/>
  <c r="I135" i="1"/>
  <c r="AK134" i="1"/>
  <c r="AJ134" i="1"/>
  <c r="U134" i="1"/>
  <c r="W134" i="1" s="1"/>
  <c r="V134" i="1" s="1"/>
  <c r="J134" i="1"/>
  <c r="I134" i="1"/>
  <c r="AJ133" i="1"/>
  <c r="V133" i="1"/>
  <c r="U133" i="1"/>
  <c r="I133" i="1"/>
  <c r="AJ132" i="1"/>
  <c r="U132" i="1"/>
  <c r="J132" i="1"/>
  <c r="I132" i="1"/>
  <c r="AK131" i="1"/>
  <c r="AJ131" i="1"/>
  <c r="V131" i="1"/>
  <c r="U131" i="1"/>
  <c r="I131" i="1"/>
  <c r="AK130" i="1"/>
  <c r="AJ130" i="1"/>
  <c r="U130" i="1"/>
  <c r="K130" i="1"/>
  <c r="J130" i="1" s="1"/>
  <c r="I130" i="1"/>
  <c r="AG119" i="1"/>
  <c r="AC119" i="1"/>
  <c r="AB119" i="1"/>
  <c r="AI118" i="1"/>
  <c r="AH118" i="1"/>
  <c r="AG118" i="1"/>
  <c r="AF118" i="1"/>
  <c r="AE118" i="1"/>
  <c r="AD118" i="1"/>
  <c r="AC118" i="1"/>
  <c r="AB118" i="1"/>
  <c r="H118" i="1"/>
  <c r="G118" i="1"/>
  <c r="F118" i="1"/>
  <c r="D118" i="1"/>
  <c r="B118" i="1"/>
  <c r="AJ117" i="1"/>
  <c r="H117" i="1"/>
  <c r="G117" i="1"/>
  <c r="F117" i="1"/>
  <c r="E117" i="1"/>
  <c r="D117" i="1"/>
  <c r="C117" i="1"/>
  <c r="B117" i="1"/>
  <c r="AJ116" i="1"/>
  <c r="S116" i="1"/>
  <c r="P116" i="1"/>
  <c r="I116" i="1"/>
  <c r="AK115" i="1"/>
  <c r="AJ115" i="1"/>
  <c r="T115" i="1"/>
  <c r="S115" i="1"/>
  <c r="R115" i="1"/>
  <c r="Q115" i="1"/>
  <c r="P115" i="1"/>
  <c r="J115" i="1"/>
  <c r="I115" i="1"/>
  <c r="AK114" i="1"/>
  <c r="AJ114" i="1"/>
  <c r="U114" i="1"/>
  <c r="J114" i="1"/>
  <c r="I114" i="1"/>
  <c r="AJ113" i="1"/>
  <c r="V113" i="1"/>
  <c r="U113" i="1"/>
  <c r="I113" i="1"/>
  <c r="AJ112" i="1"/>
  <c r="AL112" i="1" s="1"/>
  <c r="AK112" i="1" s="1"/>
  <c r="U112" i="1"/>
  <c r="J112" i="1"/>
  <c r="I112" i="1"/>
  <c r="AK111" i="1"/>
  <c r="AJ111" i="1"/>
  <c r="V111" i="1"/>
  <c r="U111" i="1"/>
  <c r="I111" i="1"/>
  <c r="AK110" i="1"/>
  <c r="AJ110" i="1"/>
  <c r="U110" i="1"/>
  <c r="K110" i="1"/>
  <c r="J110" i="1" s="1"/>
  <c r="I110" i="1"/>
  <c r="AI99" i="1"/>
  <c r="AH99" i="1"/>
  <c r="AG99" i="1"/>
  <c r="AC99" i="1"/>
  <c r="AB99" i="1"/>
  <c r="AI98" i="1"/>
  <c r="AH98" i="1"/>
  <c r="AG98" i="1"/>
  <c r="AF98" i="1"/>
  <c r="AE98" i="1"/>
  <c r="AD98" i="1"/>
  <c r="AC98" i="1"/>
  <c r="AB98" i="1"/>
  <c r="H98" i="1"/>
  <c r="G98" i="1"/>
  <c r="F98" i="1"/>
  <c r="D98" i="1"/>
  <c r="B98" i="1"/>
  <c r="AJ97" i="1"/>
  <c r="H97" i="1"/>
  <c r="G97" i="1"/>
  <c r="F97" i="1"/>
  <c r="E97" i="1"/>
  <c r="D97" i="1"/>
  <c r="C97" i="1"/>
  <c r="B97" i="1"/>
  <c r="AJ96" i="1"/>
  <c r="S96" i="1"/>
  <c r="P96" i="1"/>
  <c r="I96" i="1"/>
  <c r="AK95" i="1"/>
  <c r="AJ95" i="1"/>
  <c r="T95" i="1"/>
  <c r="S95" i="1"/>
  <c r="R95" i="1"/>
  <c r="Q95" i="1"/>
  <c r="P95" i="1"/>
  <c r="J95" i="1"/>
  <c r="I95" i="1"/>
  <c r="AK94" i="1"/>
  <c r="AJ94" i="1"/>
  <c r="U94" i="1"/>
  <c r="J94" i="1"/>
  <c r="I94" i="1"/>
  <c r="AJ93" i="1"/>
  <c r="V93" i="1"/>
  <c r="U93" i="1"/>
  <c r="I93" i="1"/>
  <c r="AJ92" i="1"/>
  <c r="AL92" i="1" s="1"/>
  <c r="AK92" i="1" s="1"/>
  <c r="U92" i="1"/>
  <c r="J92" i="1"/>
  <c r="I92" i="1"/>
  <c r="AK91" i="1"/>
  <c r="AJ91" i="1"/>
  <c r="V91" i="1"/>
  <c r="U91" i="1"/>
  <c r="J91" i="1"/>
  <c r="I91" i="1"/>
  <c r="AJ90" i="1"/>
  <c r="U90" i="1"/>
  <c r="K90" i="1"/>
  <c r="J90" i="1" s="1"/>
  <c r="I90" i="1"/>
  <c r="AI77" i="1"/>
  <c r="AH77" i="1"/>
  <c r="AG77" i="1"/>
  <c r="AF77" i="1"/>
  <c r="AI76" i="1"/>
  <c r="AH76" i="1"/>
  <c r="AG76" i="1"/>
  <c r="AF76" i="1"/>
  <c r="AE76" i="1"/>
  <c r="AD76" i="1"/>
  <c r="AC76" i="1"/>
  <c r="AB76" i="1"/>
  <c r="H76" i="1"/>
  <c r="D76" i="1"/>
  <c r="C76" i="1"/>
  <c r="B76" i="1"/>
  <c r="AK75" i="1"/>
  <c r="AJ75" i="1"/>
  <c r="H75" i="1"/>
  <c r="G75" i="1"/>
  <c r="F75" i="1"/>
  <c r="E75" i="1"/>
  <c r="D75" i="1"/>
  <c r="C75" i="1"/>
  <c r="B75" i="1"/>
  <c r="AK74" i="1"/>
  <c r="AJ74" i="1"/>
  <c r="T74" i="1"/>
  <c r="Q74" i="1"/>
  <c r="P74" i="1"/>
  <c r="J74" i="1"/>
  <c r="I74" i="1"/>
  <c r="AK73" i="1"/>
  <c r="AJ73" i="1"/>
  <c r="T73" i="1"/>
  <c r="S73" i="1"/>
  <c r="R73" i="1"/>
  <c r="Q73" i="1"/>
  <c r="P73" i="1"/>
  <c r="J73" i="1"/>
  <c r="I73" i="1"/>
  <c r="AK72" i="1"/>
  <c r="AJ72" i="1"/>
  <c r="V72" i="1"/>
  <c r="U72" i="1"/>
  <c r="J72" i="1"/>
  <c r="I72" i="1"/>
  <c r="AJ71" i="1"/>
  <c r="V71" i="1"/>
  <c r="U71" i="1"/>
  <c r="I71" i="1"/>
  <c r="AJ70" i="1"/>
  <c r="AL70" i="1" s="1"/>
  <c r="AK70" i="1" s="1"/>
  <c r="U70" i="1"/>
  <c r="W70" i="1" s="1"/>
  <c r="V70" i="1" s="1"/>
  <c r="J70" i="1"/>
  <c r="I70" i="1"/>
  <c r="AJ69" i="1"/>
  <c r="V69" i="1"/>
  <c r="U69" i="1"/>
  <c r="I69" i="1"/>
  <c r="AK68" i="1"/>
  <c r="AJ68" i="1"/>
  <c r="V68" i="1"/>
  <c r="U68" i="1"/>
  <c r="K68" i="1"/>
  <c r="J68" i="1" s="1"/>
  <c r="I68" i="1"/>
  <c r="AI57" i="1"/>
  <c r="AH57" i="1"/>
  <c r="AG57" i="1"/>
  <c r="AF57" i="1"/>
  <c r="AI56" i="1"/>
  <c r="AH56" i="1"/>
  <c r="AG56" i="1"/>
  <c r="AF56" i="1"/>
  <c r="AE56" i="1"/>
  <c r="AD56" i="1"/>
  <c r="AC56" i="1"/>
  <c r="AB56" i="1"/>
  <c r="H56" i="1"/>
  <c r="D56" i="1"/>
  <c r="C56" i="1"/>
  <c r="B56" i="1"/>
  <c r="AJ55" i="1"/>
  <c r="H55" i="1"/>
  <c r="G55" i="1"/>
  <c r="F55" i="1"/>
  <c r="E55" i="1"/>
  <c r="D55" i="1"/>
  <c r="C55" i="1"/>
  <c r="B55" i="1"/>
  <c r="AK54" i="1"/>
  <c r="AJ54" i="1"/>
  <c r="T54" i="1"/>
  <c r="Q54" i="1"/>
  <c r="P54" i="1"/>
  <c r="J54" i="1"/>
  <c r="I54" i="1"/>
  <c r="AK53" i="1"/>
  <c r="AJ53" i="1"/>
  <c r="T53" i="1"/>
  <c r="S53" i="1"/>
  <c r="R53" i="1"/>
  <c r="Q53" i="1"/>
  <c r="P53" i="1"/>
  <c r="J53" i="1"/>
  <c r="I53" i="1"/>
  <c r="AK52" i="1"/>
  <c r="AJ52" i="1"/>
  <c r="V52" i="1"/>
  <c r="U52" i="1"/>
  <c r="J52" i="1"/>
  <c r="I52" i="1"/>
  <c r="AJ51" i="1"/>
  <c r="V51" i="1"/>
  <c r="U51" i="1"/>
  <c r="I51" i="1"/>
  <c r="AJ50" i="1"/>
  <c r="U50" i="1"/>
  <c r="J50" i="1"/>
  <c r="I50" i="1"/>
  <c r="AJ49" i="1"/>
  <c r="AL49" i="1" s="1"/>
  <c r="AK49" i="1" s="1"/>
  <c r="V49" i="1"/>
  <c r="U49" i="1"/>
  <c r="I49" i="1"/>
  <c r="AK48" i="1"/>
  <c r="AJ48" i="1"/>
  <c r="U48" i="1"/>
  <c r="K48" i="1"/>
  <c r="J48" i="1" s="1"/>
  <c r="I48" i="1"/>
  <c r="AI37" i="1"/>
  <c r="AH37" i="1"/>
  <c r="AG37" i="1"/>
  <c r="AF37" i="1"/>
  <c r="AI36" i="1"/>
  <c r="AH36" i="1"/>
  <c r="AG36" i="1"/>
  <c r="AF36" i="1"/>
  <c r="AE36" i="1"/>
  <c r="AD36" i="1"/>
  <c r="AC36" i="1"/>
  <c r="AB36" i="1"/>
  <c r="H36" i="1"/>
  <c r="D36" i="1"/>
  <c r="C36" i="1"/>
  <c r="B36" i="1"/>
  <c r="AJ35" i="1"/>
  <c r="H35" i="1"/>
  <c r="G35" i="1"/>
  <c r="F35" i="1"/>
  <c r="E35" i="1"/>
  <c r="D35" i="1"/>
  <c r="C35" i="1"/>
  <c r="B35" i="1"/>
  <c r="AK34" i="1"/>
  <c r="AJ34" i="1"/>
  <c r="T34" i="1"/>
  <c r="Q34" i="1"/>
  <c r="P34" i="1"/>
  <c r="J34" i="1"/>
  <c r="I34" i="1"/>
  <c r="AJ33" i="1"/>
  <c r="T33" i="1"/>
  <c r="S33" i="1"/>
  <c r="R33" i="1"/>
  <c r="Q33" i="1"/>
  <c r="P33" i="1"/>
  <c r="J33" i="1"/>
  <c r="I33" i="1"/>
  <c r="AK32" i="1"/>
  <c r="AJ32" i="1"/>
  <c r="V32" i="1"/>
  <c r="U32" i="1"/>
  <c r="J32" i="1"/>
  <c r="I32" i="1"/>
  <c r="AJ31" i="1"/>
  <c r="V31" i="1"/>
  <c r="U31" i="1"/>
  <c r="I31" i="1"/>
  <c r="AJ30" i="1"/>
  <c r="U30" i="1"/>
  <c r="W30" i="1" s="1"/>
  <c r="V30" i="1" s="1"/>
  <c r="J30" i="1"/>
  <c r="I30" i="1"/>
  <c r="AJ29" i="1"/>
  <c r="AL29" i="1" s="1"/>
  <c r="AK29" i="1" s="1"/>
  <c r="V29" i="1"/>
  <c r="U29" i="1"/>
  <c r="I29" i="1"/>
  <c r="AJ28" i="1"/>
  <c r="U28" i="1"/>
  <c r="W28" i="1" s="1"/>
  <c r="V28" i="1" s="1"/>
  <c r="K28" i="1"/>
  <c r="J28" i="1" s="1"/>
  <c r="I28" i="1"/>
  <c r="AI17" i="1"/>
  <c r="AH17" i="1"/>
  <c r="AG17" i="1"/>
  <c r="AF17" i="1"/>
  <c r="AI16" i="1"/>
  <c r="AH16" i="1"/>
  <c r="AG16" i="1"/>
  <c r="AF16" i="1"/>
  <c r="AE16" i="1"/>
  <c r="AD16" i="1"/>
  <c r="AC16" i="1"/>
  <c r="AB16" i="1"/>
  <c r="H16" i="1"/>
  <c r="D16" i="1"/>
  <c r="C16" i="1"/>
  <c r="B16" i="1"/>
  <c r="AJ15" i="1"/>
  <c r="H15" i="1"/>
  <c r="G15" i="1"/>
  <c r="F15" i="1"/>
  <c r="E15" i="1"/>
  <c r="D15" i="1"/>
  <c r="C15" i="1"/>
  <c r="B15" i="1"/>
  <c r="AK14" i="1"/>
  <c r="AJ14" i="1"/>
  <c r="T14" i="1"/>
  <c r="Q14" i="1"/>
  <c r="P14" i="1"/>
  <c r="I14" i="1"/>
  <c r="AJ13" i="1"/>
  <c r="T13" i="1"/>
  <c r="S13" i="1"/>
  <c r="R13" i="1"/>
  <c r="P13" i="1"/>
  <c r="J13" i="1"/>
  <c r="I13" i="1"/>
  <c r="AJ12" i="1"/>
  <c r="AL12" i="1" s="1"/>
  <c r="AK12" i="1" s="1"/>
  <c r="U12" i="1"/>
  <c r="I12" i="1"/>
  <c r="AJ11" i="1"/>
  <c r="U11" i="1"/>
  <c r="W11" i="1" s="1"/>
  <c r="V11" i="1" s="1"/>
  <c r="I11" i="1"/>
  <c r="AJ10" i="1"/>
  <c r="U10" i="1"/>
  <c r="W10" i="1" s="1"/>
  <c r="V10" i="1" s="1"/>
  <c r="J10" i="1"/>
  <c r="I10" i="1"/>
  <c r="AJ9" i="1"/>
  <c r="V9" i="1"/>
  <c r="U9" i="1"/>
  <c r="Q17" i="1" s="1"/>
  <c r="I9" i="1"/>
  <c r="AJ8" i="1"/>
  <c r="U8" i="1"/>
  <c r="K8" i="1"/>
  <c r="J8" i="1" s="1"/>
  <c r="I8" i="1"/>
  <c r="J11" i="7" l="1"/>
  <c r="D121" i="9"/>
  <c r="E121" i="9" s="1"/>
  <c r="J50" i="6"/>
  <c r="J65" i="2"/>
  <c r="Q7" i="7" s="1"/>
  <c r="K65" i="2"/>
  <c r="K56" i="2"/>
  <c r="J56" i="2"/>
  <c r="N7" i="7" s="1"/>
  <c r="K66" i="2"/>
  <c r="J66" i="2"/>
  <c r="Q8" i="7" s="1"/>
  <c r="J57" i="2"/>
  <c r="N8" i="7" s="1"/>
  <c r="K57" i="2"/>
  <c r="J67" i="2"/>
  <c r="Q9" i="7" s="1"/>
  <c r="K67" i="2"/>
  <c r="K58" i="2"/>
  <c r="J58" i="2"/>
  <c r="N9" i="7" s="1"/>
  <c r="J64" i="2"/>
  <c r="Q6" i="7" s="1"/>
  <c r="K64" i="2"/>
  <c r="K55" i="2"/>
  <c r="J55" i="2"/>
  <c r="N6" i="7" s="1"/>
  <c r="K63" i="2"/>
  <c r="J63" i="2"/>
  <c r="Q5" i="7" s="1"/>
  <c r="J54" i="2"/>
  <c r="N5" i="7" s="1"/>
  <c r="K54" i="2"/>
  <c r="K62" i="2"/>
  <c r="J62" i="2"/>
  <c r="Q4" i="7" s="1"/>
  <c r="G53" i="2"/>
  <c r="H53" i="2" s="1"/>
  <c r="I53" i="2" s="1"/>
  <c r="J53" i="2" s="1"/>
  <c r="N4" i="7" s="1"/>
  <c r="K53" i="2"/>
  <c r="AD120" i="1"/>
  <c r="AD119" i="1" s="1"/>
  <c r="R179" i="1"/>
  <c r="R178" i="1" s="1"/>
  <c r="G264" i="1"/>
  <c r="H260" i="1"/>
  <c r="AE120" i="1"/>
  <c r="AE119" i="1" s="1"/>
  <c r="S179" i="1"/>
  <c r="S178" i="1" s="1"/>
  <c r="R75" i="1"/>
  <c r="R74" i="1" s="1"/>
  <c r="R239" i="1"/>
  <c r="R238" i="1" s="1"/>
  <c r="AB242" i="1"/>
  <c r="AB241" i="1" s="1"/>
  <c r="AB21" i="1"/>
  <c r="AB20" i="1"/>
  <c r="AC18" i="1"/>
  <c r="AC17" i="1" s="1"/>
  <c r="AC21" i="1"/>
  <c r="AC20" i="1"/>
  <c r="S75" i="1"/>
  <c r="S74" i="1" s="1"/>
  <c r="AB78" i="1"/>
  <c r="AB77" i="1" s="1"/>
  <c r="AD160" i="1"/>
  <c r="AD159" i="1" s="1"/>
  <c r="AC242" i="1"/>
  <c r="AC241" i="1" s="1"/>
  <c r="R35" i="1"/>
  <c r="R34" i="1" s="1"/>
  <c r="AE160" i="1"/>
  <c r="AE159" i="1" s="1"/>
  <c r="E263" i="1"/>
  <c r="C263" i="1"/>
  <c r="D263" i="1"/>
  <c r="F262" i="1"/>
  <c r="D48" i="2"/>
  <c r="AD78" i="1"/>
  <c r="AD77" i="1" s="1"/>
  <c r="AF160" i="1"/>
  <c r="AF159" i="1" s="1"/>
  <c r="R261" i="1"/>
  <c r="R260" i="1" s="1"/>
  <c r="T17" i="1"/>
  <c r="T18" i="1"/>
  <c r="AF20" i="1"/>
  <c r="AF21" i="1"/>
  <c r="AE78" i="1"/>
  <c r="AE77" i="1" s="1"/>
  <c r="AG20" i="1"/>
  <c r="AG21" i="1"/>
  <c r="AE38" i="1"/>
  <c r="AE37" i="1" s="1"/>
  <c r="R97" i="1"/>
  <c r="R96" i="1" s="1"/>
  <c r="AH160" i="1"/>
  <c r="AH159" i="1" s="1"/>
  <c r="AE304" i="1"/>
  <c r="AE303" i="1" s="1"/>
  <c r="S17" i="1"/>
  <c r="S18" i="1"/>
  <c r="AH20" i="1"/>
  <c r="AH21" i="1"/>
  <c r="R55" i="1"/>
  <c r="R54" i="1" s="1"/>
  <c r="AI160" i="1"/>
  <c r="AI159" i="1" s="1"/>
  <c r="AD264" i="1"/>
  <c r="AD263" i="1" s="1"/>
  <c r="D49" i="2"/>
  <c r="R17" i="1"/>
  <c r="R18" i="1"/>
  <c r="S35" i="1"/>
  <c r="S34" i="1" s="1"/>
  <c r="Q18" i="1"/>
  <c r="AI20" i="1"/>
  <c r="S55" i="1"/>
  <c r="S54" i="1" s="1"/>
  <c r="T97" i="1"/>
  <c r="T96" i="1" s="1"/>
  <c r="R199" i="1"/>
  <c r="R198" i="1" s="1"/>
  <c r="AC202" i="1"/>
  <c r="AC201" i="1" s="1"/>
  <c r="AB222" i="1"/>
  <c r="AB221" i="1" s="1"/>
  <c r="AC58" i="1"/>
  <c r="AC57" i="1" s="1"/>
  <c r="AF100" i="1"/>
  <c r="AF99" i="1" s="1"/>
  <c r="AC182" i="1"/>
  <c r="AC181" i="1" s="1"/>
  <c r="S199" i="1"/>
  <c r="S198" i="1" s="1"/>
  <c r="AD202" i="1"/>
  <c r="AD201" i="1" s="1"/>
  <c r="R219" i="1"/>
  <c r="R218" i="1" s="1"/>
  <c r="AD21" i="1"/>
  <c r="AD20" i="1"/>
  <c r="AE20" i="1"/>
  <c r="AE21" i="1"/>
  <c r="AD58" i="1"/>
  <c r="AD57" i="1" s="1"/>
  <c r="R117" i="1"/>
  <c r="R116" i="1" s="1"/>
  <c r="AD182" i="1"/>
  <c r="AD181" i="1" s="1"/>
  <c r="AE324" i="1"/>
  <c r="AE323" i="1" s="1"/>
  <c r="D19" i="1"/>
  <c r="E19" i="1"/>
  <c r="F19" i="1"/>
  <c r="G19" i="1"/>
  <c r="C19" i="1"/>
  <c r="H19" i="1"/>
  <c r="K156" i="1"/>
  <c r="J156" i="1" s="1"/>
  <c r="K93" i="1"/>
  <c r="J93" i="1" s="1"/>
  <c r="K31" i="1"/>
  <c r="J31" i="1" s="1"/>
  <c r="C119" i="1"/>
  <c r="C118" i="1" s="1"/>
  <c r="F181" i="1"/>
  <c r="F180" i="1" s="1"/>
  <c r="E57" i="1"/>
  <c r="E56" i="1" s="1"/>
  <c r="K11" i="1"/>
  <c r="J11" i="1" s="1"/>
  <c r="F221" i="1"/>
  <c r="F220" i="1" s="1"/>
  <c r="D241" i="1"/>
  <c r="D240" i="1" s="1"/>
  <c r="D221" i="1"/>
  <c r="D220" i="1" s="1"/>
  <c r="K176" i="1"/>
  <c r="J176" i="1" s="1"/>
  <c r="E241" i="1"/>
  <c r="E240" i="1" s="1"/>
  <c r="K49" i="1"/>
  <c r="J49" i="1" s="1"/>
  <c r="E221" i="1"/>
  <c r="E220" i="1" s="1"/>
  <c r="E17" i="1"/>
  <c r="E16" i="1" s="1"/>
  <c r="K111" i="1"/>
  <c r="J111" i="1" s="1"/>
  <c r="C159" i="1"/>
  <c r="C158" i="1" s="1"/>
  <c r="F241" i="1"/>
  <c r="F240" i="1" s="1"/>
  <c r="H300" i="1"/>
  <c r="E139" i="1"/>
  <c r="E138" i="1" s="1"/>
  <c r="D181" i="1"/>
  <c r="D180" i="1" s="1"/>
  <c r="F201" i="1"/>
  <c r="F200" i="1" s="1"/>
  <c r="K12" i="1"/>
  <c r="J12" i="1" s="1"/>
  <c r="K29" i="1"/>
  <c r="J29" i="1" s="1"/>
  <c r="E37" i="1"/>
  <c r="E36" i="1" s="1"/>
  <c r="K9" i="1"/>
  <c r="J9" i="1" s="1"/>
  <c r="G37" i="1"/>
  <c r="G36" i="1" s="1"/>
  <c r="F77" i="1"/>
  <c r="F76" i="1" s="1"/>
  <c r="K175" i="1"/>
  <c r="J175" i="1" s="1"/>
  <c r="E181" i="1"/>
  <c r="E180" i="1" s="1"/>
  <c r="K238" i="1"/>
  <c r="J238" i="1" s="1"/>
  <c r="AF120" i="1"/>
  <c r="AF119" i="1" s="1"/>
  <c r="U217" i="1"/>
  <c r="U177" i="1"/>
  <c r="T281" i="1"/>
  <c r="T280" i="1" s="1"/>
  <c r="E159" i="1"/>
  <c r="E158" i="1" s="1"/>
  <c r="S219" i="1"/>
  <c r="S218" i="1" s="1"/>
  <c r="C99" i="1"/>
  <c r="C98" i="1" s="1"/>
  <c r="W110" i="1"/>
  <c r="V110" i="1" s="1"/>
  <c r="R137" i="1"/>
  <c r="R136" i="1" s="1"/>
  <c r="AJ180" i="1"/>
  <c r="T137" i="1"/>
  <c r="T136" i="1" s="1"/>
  <c r="I219" i="1"/>
  <c r="AL239" i="1"/>
  <c r="AK239" i="1" s="1"/>
  <c r="W234" i="1"/>
  <c r="V234" i="1" s="1"/>
  <c r="F17" i="1"/>
  <c r="F16" i="1" s="1"/>
  <c r="AL236" i="1"/>
  <c r="AK236" i="1" s="1"/>
  <c r="S239" i="1"/>
  <c r="S238" i="1" s="1"/>
  <c r="AL219" i="1"/>
  <c r="AK219" i="1" s="1"/>
  <c r="AL176" i="1"/>
  <c r="AK176" i="1" s="1"/>
  <c r="AL33" i="1"/>
  <c r="AK33" i="1" s="1"/>
  <c r="AL35" i="1"/>
  <c r="AK35" i="1" s="1"/>
  <c r="K71" i="1"/>
  <c r="J71" i="1" s="1"/>
  <c r="W256" i="1"/>
  <c r="V256" i="1" s="1"/>
  <c r="K51" i="1"/>
  <c r="J51" i="1" s="1"/>
  <c r="I239" i="1"/>
  <c r="AD140" i="1"/>
  <c r="AD139" i="1" s="1"/>
  <c r="R321" i="1"/>
  <c r="R320" i="1" s="1"/>
  <c r="AE264" i="1"/>
  <c r="AE263" i="1" s="1"/>
  <c r="AL71" i="1"/>
  <c r="AK71" i="1" s="1"/>
  <c r="AL174" i="1"/>
  <c r="AK174" i="1" s="1"/>
  <c r="K178" i="1"/>
  <c r="J178" i="1" s="1"/>
  <c r="AB202" i="1"/>
  <c r="AB201" i="1" s="1"/>
  <c r="W50" i="1"/>
  <c r="V50" i="1" s="1"/>
  <c r="AE100" i="1"/>
  <c r="AE99" i="1" s="1"/>
  <c r="K194" i="1"/>
  <c r="J194" i="1" s="1"/>
  <c r="K196" i="1"/>
  <c r="J196" i="1" s="1"/>
  <c r="AC222" i="1"/>
  <c r="AC221" i="1" s="1"/>
  <c r="AJ98" i="1"/>
  <c r="I179" i="1"/>
  <c r="AJ16" i="1"/>
  <c r="K174" i="1"/>
  <c r="J174" i="1" s="1"/>
  <c r="AL51" i="1"/>
  <c r="AK51" i="1" s="1"/>
  <c r="AL31" i="1"/>
  <c r="AK31" i="1" s="1"/>
  <c r="AJ36" i="1"/>
  <c r="AJ262" i="1"/>
  <c r="AL9" i="1"/>
  <c r="AK9" i="1" s="1"/>
  <c r="AL30" i="1"/>
  <c r="AK30" i="1" s="1"/>
  <c r="W90" i="1"/>
  <c r="V90" i="1" s="1"/>
  <c r="E99" i="1"/>
  <c r="E98" i="1" s="1"/>
  <c r="AL132" i="1"/>
  <c r="AK132" i="1" s="1"/>
  <c r="AB182" i="1"/>
  <c r="AB181" i="1" s="1"/>
  <c r="W254" i="1"/>
  <c r="V254" i="1" s="1"/>
  <c r="U279" i="1"/>
  <c r="AL152" i="1"/>
  <c r="AK152" i="1" s="1"/>
  <c r="AJ158" i="1"/>
  <c r="W176" i="1"/>
  <c r="V176" i="1" s="1"/>
  <c r="W196" i="1"/>
  <c r="V196" i="1" s="1"/>
  <c r="AL198" i="1"/>
  <c r="AK198" i="1" s="1"/>
  <c r="AL214" i="1"/>
  <c r="AK214" i="1" s="1"/>
  <c r="U237" i="1"/>
  <c r="AL15" i="1"/>
  <c r="AK15" i="1" s="1"/>
  <c r="AL55" i="1"/>
  <c r="AK55" i="1" s="1"/>
  <c r="AL117" i="1"/>
  <c r="AK117" i="1" s="1"/>
  <c r="U115" i="1"/>
  <c r="W94" i="1"/>
  <c r="V94" i="1" s="1"/>
  <c r="I117" i="1"/>
  <c r="W174" i="1"/>
  <c r="V174" i="1" s="1"/>
  <c r="K215" i="1"/>
  <c r="J215" i="1" s="1"/>
  <c r="AL277" i="1"/>
  <c r="AK277" i="1" s="1"/>
  <c r="R281" i="1"/>
  <c r="R280" i="1" s="1"/>
  <c r="H320" i="1"/>
  <c r="K14" i="1"/>
  <c r="J14" i="1" s="1"/>
  <c r="W172" i="1"/>
  <c r="V172" i="1" s="1"/>
  <c r="AL234" i="1"/>
  <c r="AK234" i="1" s="1"/>
  <c r="F37" i="1"/>
  <c r="F36" i="1" s="1"/>
  <c r="F57" i="1"/>
  <c r="F56" i="1" s="1"/>
  <c r="W92" i="1"/>
  <c r="V92" i="1" s="1"/>
  <c r="K96" i="1"/>
  <c r="J96" i="1" s="1"/>
  <c r="AL96" i="1"/>
  <c r="AK96" i="1" s="1"/>
  <c r="K113" i="1"/>
  <c r="J113" i="1" s="1"/>
  <c r="Q137" i="1"/>
  <c r="Q136" i="1" s="1"/>
  <c r="W152" i="1"/>
  <c r="V152" i="1" s="1"/>
  <c r="AI202" i="1"/>
  <c r="AI201" i="1" s="1"/>
  <c r="AJ240" i="1"/>
  <c r="AD242" i="1"/>
  <c r="AD241" i="1" s="1"/>
  <c r="W278" i="1"/>
  <c r="V278" i="1" s="1"/>
  <c r="I97" i="1"/>
  <c r="AL93" i="1"/>
  <c r="AK93" i="1" s="1"/>
  <c r="AL156" i="1"/>
  <c r="AK156" i="1" s="1"/>
  <c r="AL11" i="1"/>
  <c r="AK11" i="1" s="1"/>
  <c r="AB38" i="1"/>
  <c r="AB37" i="1" s="1"/>
  <c r="G57" i="1"/>
  <c r="G56" i="1" s="1"/>
  <c r="AB58" i="1"/>
  <c r="AB57" i="1" s="1"/>
  <c r="I75" i="1"/>
  <c r="AJ76" i="1"/>
  <c r="AH120" i="1"/>
  <c r="AH119" i="1" s="1"/>
  <c r="AL192" i="1"/>
  <c r="AK192" i="1" s="1"/>
  <c r="AJ200" i="1"/>
  <c r="K131" i="1"/>
  <c r="J131" i="1" s="1"/>
  <c r="AB18" i="1"/>
  <c r="AB17" i="1" s="1"/>
  <c r="W12" i="1"/>
  <c r="V12" i="1" s="1"/>
  <c r="R15" i="1"/>
  <c r="R14" i="1" s="1"/>
  <c r="AE18" i="1"/>
  <c r="AE17" i="1" s="1"/>
  <c r="AC38" i="1"/>
  <c r="AC37" i="1" s="1"/>
  <c r="AL90" i="1"/>
  <c r="AK90" i="1" s="1"/>
  <c r="U95" i="1"/>
  <c r="K116" i="1"/>
  <c r="J116" i="1" s="1"/>
  <c r="E119" i="1"/>
  <c r="E118" i="1" s="1"/>
  <c r="W130" i="1"/>
  <c r="V130" i="1" s="1"/>
  <c r="W132" i="1"/>
  <c r="V132" i="1" s="1"/>
  <c r="I199" i="1"/>
  <c r="R301" i="1"/>
  <c r="R300" i="1" s="1"/>
  <c r="U299" i="1"/>
  <c r="I15" i="1"/>
  <c r="L18" i="1" s="1"/>
  <c r="J21" i="1" s="1"/>
  <c r="D11" i="2" s="1"/>
  <c r="K151" i="1"/>
  <c r="J151" i="1" s="1"/>
  <c r="I35" i="1"/>
  <c r="AD38" i="1"/>
  <c r="AD37" i="1" s="1"/>
  <c r="AL50" i="1"/>
  <c r="AK50" i="1" s="1"/>
  <c r="I55" i="1"/>
  <c r="D13" i="2" s="1"/>
  <c r="AE58" i="1"/>
  <c r="AE57" i="1" s="1"/>
  <c r="AL97" i="1"/>
  <c r="AK97" i="1" s="1"/>
  <c r="Q117" i="1"/>
  <c r="Q116" i="1" s="1"/>
  <c r="AJ118" i="1"/>
  <c r="U259" i="1"/>
  <c r="U13" i="1"/>
  <c r="S15" i="1"/>
  <c r="S14" i="1" s="1"/>
  <c r="U73" i="1"/>
  <c r="E77" i="1"/>
  <c r="E76" i="1" s="1"/>
  <c r="AI120" i="1"/>
  <c r="AI119" i="1" s="1"/>
  <c r="AL137" i="1"/>
  <c r="AK137" i="1" s="1"/>
  <c r="AE140" i="1"/>
  <c r="AE139" i="1" s="1"/>
  <c r="AJ138" i="1"/>
  <c r="D201" i="1"/>
  <c r="D200" i="1" s="1"/>
  <c r="AL8" i="1"/>
  <c r="AK8" i="1" s="1"/>
  <c r="AD18" i="1"/>
  <c r="AD17" i="1" s="1"/>
  <c r="W8" i="1"/>
  <c r="V8" i="1" s="1"/>
  <c r="U33" i="1"/>
  <c r="U53" i="1"/>
  <c r="AD100" i="1"/>
  <c r="AD99" i="1" s="1"/>
  <c r="W112" i="1"/>
  <c r="V112" i="1" s="1"/>
  <c r="I137" i="1"/>
  <c r="W150" i="1"/>
  <c r="V150" i="1" s="1"/>
  <c r="U155" i="1"/>
  <c r="AL178" i="1"/>
  <c r="AK178" i="1" s="1"/>
  <c r="E201" i="1"/>
  <c r="E200" i="1" s="1"/>
  <c r="AJ220" i="1"/>
  <c r="AD222" i="1"/>
  <c r="AD221" i="1" s="1"/>
  <c r="W296" i="1"/>
  <c r="V296" i="1" s="1"/>
  <c r="AL28" i="1"/>
  <c r="AK28" i="1" s="1"/>
  <c r="AL10" i="1"/>
  <c r="AK10" i="1" s="1"/>
  <c r="AL69" i="1"/>
  <c r="AK69" i="1" s="1"/>
  <c r="G77" i="1"/>
  <c r="G76" i="1" s="1"/>
  <c r="T117" i="1"/>
  <c r="T116" i="1" s="1"/>
  <c r="C139" i="1"/>
  <c r="C138" i="1" s="1"/>
  <c r="AF140" i="1"/>
  <c r="AF139" i="1" s="1"/>
  <c r="Q157" i="1"/>
  <c r="Q156" i="1" s="1"/>
  <c r="K198" i="1"/>
  <c r="J198" i="1" s="1"/>
  <c r="AJ282" i="1"/>
  <c r="AD284" i="1"/>
  <c r="AD283" i="1" s="1"/>
  <c r="T157" i="1"/>
  <c r="T156" i="1" s="1"/>
  <c r="K236" i="1"/>
  <c r="J236" i="1" s="1"/>
  <c r="Q97" i="1"/>
  <c r="Q96" i="1" s="1"/>
  <c r="W48" i="1"/>
  <c r="V48" i="1" s="1"/>
  <c r="K69" i="1"/>
  <c r="J69" i="1" s="1"/>
  <c r="AC78" i="1"/>
  <c r="AC77" i="1" s="1"/>
  <c r="AH140" i="1"/>
  <c r="AH139" i="1" s="1"/>
  <c r="R157" i="1"/>
  <c r="R156" i="1" s="1"/>
  <c r="U197" i="1"/>
  <c r="AE284" i="1"/>
  <c r="AE283" i="1" s="1"/>
  <c r="W301" i="1"/>
  <c r="G17" i="1"/>
  <c r="G16" i="1" s="1"/>
  <c r="AJ302" i="1"/>
  <c r="AL13" i="1"/>
  <c r="AK13" i="1" s="1"/>
  <c r="AJ56" i="1"/>
  <c r="AL113" i="1"/>
  <c r="AK113" i="1" s="1"/>
  <c r="U135" i="1"/>
  <c r="AI140" i="1"/>
  <c r="AI139" i="1" s="1"/>
  <c r="I157" i="1"/>
  <c r="K195" i="1"/>
  <c r="J195" i="1" s="1"/>
  <c r="AL213" i="1"/>
  <c r="AK213" i="1" s="1"/>
  <c r="K216" i="1"/>
  <c r="J216" i="1" s="1"/>
  <c r="H280" i="1"/>
  <c r="AD304" i="1"/>
  <c r="AD303" i="1" s="1"/>
  <c r="T301" i="1"/>
  <c r="T300" i="1" s="1"/>
  <c r="AL116" i="1"/>
  <c r="AK116" i="1" s="1"/>
  <c r="K136" i="1"/>
  <c r="J136" i="1" s="1"/>
  <c r="K153" i="1"/>
  <c r="J153" i="1" s="1"/>
  <c r="AL173" i="1"/>
  <c r="AK173" i="1" s="1"/>
  <c r="W316" i="1"/>
  <c r="V316" i="1" s="1"/>
  <c r="AJ322" i="1"/>
  <c r="W114" i="1"/>
  <c r="V114" i="1" s="1"/>
  <c r="K133" i="1"/>
  <c r="J133" i="1" s="1"/>
  <c r="AL153" i="1"/>
  <c r="AK153" i="1" s="1"/>
  <c r="W154" i="1"/>
  <c r="V154" i="1" s="1"/>
  <c r="W194" i="1"/>
  <c r="V194" i="1" s="1"/>
  <c r="W235" i="1"/>
  <c r="V235" i="1" s="1"/>
  <c r="AL133" i="1"/>
  <c r="AK133" i="1" s="1"/>
  <c r="AL136" i="1"/>
  <c r="AK136" i="1" s="1"/>
  <c r="AL258" i="1"/>
  <c r="AK258" i="1" s="1"/>
  <c r="AL317" i="1"/>
  <c r="AK317" i="1" s="1"/>
  <c r="AL196" i="1"/>
  <c r="AK196" i="1" s="1"/>
  <c r="W212" i="1"/>
  <c r="V212" i="1" s="1"/>
  <c r="T321" i="1"/>
  <c r="T320" i="1" s="1"/>
  <c r="AL199" i="1"/>
  <c r="AK199" i="1" s="1"/>
  <c r="W215" i="1"/>
  <c r="V215" i="1" s="1"/>
  <c r="U319" i="1"/>
  <c r="AL182" i="1"/>
  <c r="AL216" i="1"/>
  <c r="AK216" i="1" s="1"/>
  <c r="W257" i="1"/>
  <c r="V257" i="1" s="1"/>
  <c r="W294" i="1"/>
  <c r="V294" i="1" s="1"/>
  <c r="T261" i="1"/>
  <c r="T260" i="1" s="1"/>
  <c r="W192" i="1"/>
  <c r="V192" i="1" s="1"/>
  <c r="AL194" i="1"/>
  <c r="AK194" i="1" s="1"/>
  <c r="K218" i="1"/>
  <c r="J218" i="1" s="1"/>
  <c r="K235" i="1"/>
  <c r="J235" i="1" s="1"/>
  <c r="W258" i="1"/>
  <c r="V258" i="1" s="1"/>
  <c r="W276" i="1"/>
  <c r="V276" i="1" s="1"/>
  <c r="L4" i="7" l="1"/>
  <c r="M4" i="7"/>
  <c r="E4" i="7" s="1"/>
  <c r="P4" i="7"/>
  <c r="H4" i="7" s="1"/>
  <c r="O4" i="7"/>
  <c r="J4" i="7" s="1"/>
  <c r="M5" i="7"/>
  <c r="E5" i="7" s="1"/>
  <c r="L5" i="7"/>
  <c r="O5" i="7"/>
  <c r="J5" i="7" s="1"/>
  <c r="P5" i="7"/>
  <c r="H5" i="7" s="1"/>
  <c r="M6" i="7"/>
  <c r="E6" i="7" s="1"/>
  <c r="L6" i="7"/>
  <c r="O6" i="7"/>
  <c r="J6" i="7" s="1"/>
  <c r="P6" i="7"/>
  <c r="H6" i="7" s="1"/>
  <c r="O9" i="7"/>
  <c r="P9" i="7"/>
  <c r="H9" i="7" s="1"/>
  <c r="M9" i="7"/>
  <c r="E9" i="7" s="1"/>
  <c r="L9" i="7"/>
  <c r="J9" i="7" s="1"/>
  <c r="O8" i="7"/>
  <c r="P8" i="7"/>
  <c r="H8" i="7" s="1"/>
  <c r="L8" i="7"/>
  <c r="J8" i="7" s="1"/>
  <c r="M8" i="7"/>
  <c r="E8" i="7" s="1"/>
  <c r="O7" i="7"/>
  <c r="P7" i="7"/>
  <c r="H7" i="7"/>
  <c r="L7" i="7"/>
  <c r="J7" i="7" s="1"/>
  <c r="M7" i="7"/>
  <c r="E7" i="7" s="1"/>
  <c r="Q50" i="6"/>
  <c r="R50" i="6" s="1"/>
  <c r="S50" i="6" s="1"/>
  <c r="K50" i="6"/>
  <c r="E50" i="6" s="1"/>
  <c r="D120" i="9"/>
  <c r="E120" i="9" s="1"/>
  <c r="J49" i="6"/>
  <c r="J48" i="6"/>
  <c r="D119" i="9"/>
  <c r="E119" i="9" s="1"/>
  <c r="J13" i="6"/>
  <c r="D12" i="9"/>
  <c r="E12" i="9" s="1"/>
  <c r="E26" i="2"/>
  <c r="K119" i="1"/>
  <c r="W75" i="1"/>
  <c r="E50" i="2"/>
  <c r="F263" i="1"/>
  <c r="W117" i="1"/>
  <c r="AK22" i="1"/>
  <c r="D3" i="2" s="1"/>
  <c r="AL18" i="1"/>
  <c r="D26" i="2"/>
  <c r="W157" i="1"/>
  <c r="D23" i="2"/>
  <c r="D35" i="2"/>
  <c r="E35" i="2"/>
  <c r="AL100" i="1"/>
  <c r="W219" i="1"/>
  <c r="AL202" i="1"/>
  <c r="W137" i="1"/>
  <c r="D25" i="2"/>
  <c r="W97" i="1"/>
  <c r="D38" i="2"/>
  <c r="K201" i="1"/>
  <c r="W178" i="1"/>
  <c r="AL140" i="1"/>
  <c r="AL242" i="1"/>
  <c r="W239" i="1"/>
  <c r="D37" i="2"/>
  <c r="K139" i="1"/>
  <c r="K181" i="1"/>
  <c r="E12" i="2"/>
  <c r="K57" i="1"/>
  <c r="AL324" i="1"/>
  <c r="AL58" i="1"/>
  <c r="W55" i="1"/>
  <c r="D14" i="2"/>
  <c r="K241" i="1"/>
  <c r="K99" i="1"/>
  <c r="G265" i="1"/>
  <c r="E47" i="2" s="1"/>
  <c r="AL159" i="1"/>
  <c r="AL264" i="1"/>
  <c r="D47" i="2"/>
  <c r="H264" i="1"/>
  <c r="H259" i="1" s="1"/>
  <c r="K159" i="1"/>
  <c r="AL38" i="1"/>
  <c r="E36" i="2"/>
  <c r="AL303" i="1"/>
  <c r="AL78" i="1"/>
  <c r="W35" i="1"/>
  <c r="W261" i="1"/>
  <c r="AL160" i="1"/>
  <c r="AL201" i="1"/>
  <c r="D12" i="2"/>
  <c r="AL304" i="1"/>
  <c r="K37" i="1"/>
  <c r="AL222" i="1"/>
  <c r="AL120" i="1"/>
  <c r="D36" i="2"/>
  <c r="D24" i="2"/>
  <c r="W74" i="1"/>
  <c r="W321" i="1"/>
  <c r="AL284" i="1"/>
  <c r="W199" i="1"/>
  <c r="W179" i="1"/>
  <c r="W281" i="1"/>
  <c r="K77" i="1"/>
  <c r="K221" i="1"/>
  <c r="AL181" i="1"/>
  <c r="V19" i="1"/>
  <c r="D7" i="2" s="1"/>
  <c r="K17" i="1"/>
  <c r="J3" i="6" l="1"/>
  <c r="D2" i="9"/>
  <c r="E2" i="9" s="1"/>
  <c r="J7" i="6"/>
  <c r="D6" i="9"/>
  <c r="E6" i="9" s="1"/>
  <c r="Q49" i="6"/>
  <c r="R49" i="6" s="1"/>
  <c r="S49" i="6" s="1"/>
  <c r="K49" i="6"/>
  <c r="E49" i="6" s="1"/>
  <c r="K48" i="6"/>
  <c r="Q48" i="6"/>
  <c r="R48" i="6" s="1"/>
  <c r="S48" i="6" s="1"/>
  <c r="J38" i="6"/>
  <c r="D85" i="9"/>
  <c r="E85" i="9" s="1"/>
  <c r="J37" i="6"/>
  <c r="D84" i="9"/>
  <c r="E84" i="9" s="1"/>
  <c r="D83" i="9"/>
  <c r="E83" i="9" s="1"/>
  <c r="J36" i="6"/>
  <c r="J35" i="6"/>
  <c r="D82" i="9"/>
  <c r="E82" i="9" s="1"/>
  <c r="D49" i="9"/>
  <c r="E49" i="9" s="1"/>
  <c r="J26" i="6"/>
  <c r="J24" i="6"/>
  <c r="D47" i="9"/>
  <c r="E47" i="9" s="1"/>
  <c r="J23" i="6"/>
  <c r="D46" i="9"/>
  <c r="E46" i="9" s="1"/>
  <c r="J14" i="6"/>
  <c r="D13" i="9"/>
  <c r="E13" i="9" s="1"/>
  <c r="Q13" i="6"/>
  <c r="R13" i="6" s="1"/>
  <c r="S13" i="6" s="1"/>
  <c r="K13" i="6"/>
  <c r="E13" i="6" s="1"/>
  <c r="D11" i="9"/>
  <c r="E11" i="9" s="1"/>
  <c r="J12" i="6"/>
  <c r="D48" i="9"/>
  <c r="E48" i="9" s="1"/>
  <c r="J25" i="6"/>
  <c r="V20" i="1"/>
  <c r="E7" i="2" s="1"/>
  <c r="K158" i="1"/>
  <c r="W218" i="1"/>
  <c r="W300" i="1"/>
  <c r="AL323" i="1"/>
  <c r="W238" i="1"/>
  <c r="K200" i="1"/>
  <c r="AL283" i="1"/>
  <c r="AL57" i="1"/>
  <c r="W320" i="1"/>
  <c r="E37" i="2"/>
  <c r="W156" i="1"/>
  <c r="E48" i="2"/>
  <c r="H279" i="1"/>
  <c r="W136" i="1"/>
  <c r="W34" i="1"/>
  <c r="AL77" i="1"/>
  <c r="W54" i="1"/>
  <c r="AK23" i="1"/>
  <c r="AL99" i="1"/>
  <c r="AL139" i="1"/>
  <c r="W280" i="1"/>
  <c r="AL263" i="1"/>
  <c r="K36" i="1"/>
  <c r="W198" i="1"/>
  <c r="K180" i="1"/>
  <c r="K56" i="1"/>
  <c r="E13" i="2"/>
  <c r="E49" i="2"/>
  <c r="H299" i="1"/>
  <c r="AL37" i="1"/>
  <c r="W260" i="1"/>
  <c r="W116" i="1"/>
  <c r="W96" i="1"/>
  <c r="AL221" i="1"/>
  <c r="AL119" i="1"/>
  <c r="W15" i="1"/>
  <c r="J22" i="1"/>
  <c r="E11" i="2" s="1"/>
  <c r="Q3" i="6" l="1"/>
  <c r="R3" i="6" s="1"/>
  <c r="S3" i="6" s="1"/>
  <c r="K3" i="6"/>
  <c r="E3" i="6" s="1"/>
  <c r="AL22" i="1"/>
  <c r="AL17" i="1" s="1"/>
  <c r="E3" i="2"/>
  <c r="K7" i="6"/>
  <c r="Q7" i="6"/>
  <c r="R7" i="6" s="1"/>
  <c r="S7" i="6" s="1"/>
  <c r="W19" i="1"/>
  <c r="W14" i="1" s="1"/>
  <c r="E48" i="6"/>
  <c r="Q38" i="6"/>
  <c r="R38" i="6" s="1"/>
  <c r="S38" i="6" s="1"/>
  <c r="K38" i="6"/>
  <c r="E38" i="6" s="1"/>
  <c r="Q37" i="6"/>
  <c r="R37" i="6" s="1"/>
  <c r="S37" i="6" s="1"/>
  <c r="K37" i="6"/>
  <c r="E37" i="6" s="1"/>
  <c r="Q36" i="6"/>
  <c r="R36" i="6" s="1"/>
  <c r="S36" i="6" s="1"/>
  <c r="K36" i="6"/>
  <c r="K35" i="6"/>
  <c r="Q35" i="6"/>
  <c r="R35" i="6" s="1"/>
  <c r="S35" i="6" s="1"/>
  <c r="Q26" i="6"/>
  <c r="R26" i="6" s="1"/>
  <c r="S26" i="6" s="1"/>
  <c r="K26" i="6"/>
  <c r="K24" i="6"/>
  <c r="Q24" i="6"/>
  <c r="R24" i="6" s="1"/>
  <c r="S24" i="6" s="1"/>
  <c r="K23" i="6"/>
  <c r="Q23" i="6"/>
  <c r="R23" i="6" s="1"/>
  <c r="S23" i="6" s="1"/>
  <c r="Q14" i="6"/>
  <c r="R14" i="6" s="1"/>
  <c r="S14" i="6" s="1"/>
  <c r="K14" i="6"/>
  <c r="E14" i="6" s="1"/>
  <c r="Q12" i="6"/>
  <c r="R12" i="6" s="1"/>
  <c r="S12" i="6" s="1"/>
  <c r="K12" i="6"/>
  <c r="Q25" i="6"/>
  <c r="R25" i="6" s="1"/>
  <c r="S25" i="6" s="1"/>
  <c r="K25" i="6"/>
  <c r="AL241" i="1"/>
  <c r="E30" i="2"/>
  <c r="G30" i="2" s="1"/>
  <c r="H30" i="2" s="1"/>
  <c r="I30" i="2" s="1"/>
  <c r="K220" i="1"/>
  <c r="E25" i="2"/>
  <c r="K138" i="1"/>
  <c r="E24" i="2"/>
  <c r="K118" i="1"/>
  <c r="E38" i="2"/>
  <c r="K240" i="1"/>
  <c r="E23" i="2"/>
  <c r="K98" i="1"/>
  <c r="E14" i="2"/>
  <c r="K76" i="1"/>
  <c r="G47" i="2"/>
  <c r="H47" i="2" s="1"/>
  <c r="I47" i="2" s="1"/>
  <c r="J47" i="2" s="1"/>
  <c r="K47" i="2"/>
  <c r="E7" i="6" l="1"/>
  <c r="E36" i="6"/>
  <c r="E35" i="6"/>
  <c r="E26" i="6"/>
  <c r="E24" i="6"/>
  <c r="E23" i="6"/>
  <c r="E12" i="6"/>
  <c r="H46" i="6"/>
  <c r="H40" i="6"/>
  <c r="H9" i="6"/>
  <c r="H36" i="6"/>
  <c r="H33" i="6"/>
  <c r="H41" i="6"/>
  <c r="H25" i="6"/>
  <c r="H50" i="6"/>
  <c r="H6" i="6"/>
  <c r="H15" i="6"/>
  <c r="H27" i="6"/>
  <c r="H44" i="6"/>
  <c r="H37" i="6"/>
  <c r="H43" i="6"/>
  <c r="H11" i="6"/>
  <c r="H28" i="6"/>
  <c r="H10" i="6"/>
  <c r="H49" i="6"/>
  <c r="H4" i="6"/>
  <c r="H18" i="6"/>
  <c r="H13" i="6"/>
  <c r="H5" i="6"/>
  <c r="H14" i="6"/>
  <c r="H3" i="6"/>
  <c r="H30" i="6"/>
  <c r="H39" i="6"/>
  <c r="H19" i="6"/>
  <c r="H29" i="6"/>
  <c r="H31" i="6"/>
  <c r="H35" i="6"/>
  <c r="H26" i="6"/>
  <c r="H45" i="6"/>
  <c r="H22" i="6"/>
  <c r="H12" i="6"/>
  <c r="H48" i="6"/>
  <c r="H23" i="6"/>
  <c r="H24" i="6"/>
  <c r="H47" i="6"/>
  <c r="H32" i="6"/>
  <c r="H16" i="6"/>
  <c r="E25" i="6"/>
  <c r="H7" i="6"/>
  <c r="H42" i="6"/>
  <c r="H21" i="6"/>
  <c r="H17" i="6"/>
  <c r="H20" i="6"/>
  <c r="H38" i="6"/>
  <c r="H8" i="6"/>
  <c r="H34" i="6"/>
  <c r="G42" i="2"/>
  <c r="H42" i="2" s="1"/>
  <c r="I42" i="2" s="1"/>
  <c r="J42" i="2" s="1"/>
  <c r="N42" i="6" s="1"/>
  <c r="O42" i="6" s="1"/>
  <c r="K42" i="2"/>
  <c r="L42" i="6" s="1"/>
  <c r="G35" i="2"/>
  <c r="H35" i="2" s="1"/>
  <c r="I35" i="2" s="1"/>
  <c r="J35" i="2" s="1"/>
  <c r="N35" i="6" s="1"/>
  <c r="O35" i="6" s="1"/>
  <c r="K12" i="2"/>
  <c r="L12" i="6" s="1"/>
  <c r="G12" i="2"/>
  <c r="H12" i="2" s="1"/>
  <c r="I12" i="2" s="1"/>
  <c r="J12" i="2" s="1"/>
  <c r="N12" i="6" s="1"/>
  <c r="O12" i="6" s="1"/>
  <c r="K37" i="2"/>
  <c r="L37" i="6" s="1"/>
  <c r="G37" i="2"/>
  <c r="H37" i="2" s="1"/>
  <c r="I37" i="2" s="1"/>
  <c r="J37" i="2" s="1"/>
  <c r="N37" i="6" s="1"/>
  <c r="O37" i="6" s="1"/>
  <c r="K21" i="1"/>
  <c r="K16" i="1" s="1"/>
  <c r="K49" i="2"/>
  <c r="L49" i="6" s="1"/>
  <c r="G49" i="2"/>
  <c r="H49" i="2" s="1"/>
  <c r="I49" i="2" s="1"/>
  <c r="J49" i="2" s="1"/>
  <c r="N49" i="6" s="1"/>
  <c r="O49" i="6" s="1"/>
  <c r="K48" i="2"/>
  <c r="L48" i="6" s="1"/>
  <c r="G48" i="2"/>
  <c r="H48" i="2" s="1"/>
  <c r="I48" i="2" s="1"/>
  <c r="J48" i="2" s="1"/>
  <c r="N48" i="6" s="1"/>
  <c r="O48" i="6" s="1"/>
  <c r="J50" i="2"/>
  <c r="M42" i="6" l="1"/>
  <c r="F42" i="6" s="1"/>
  <c r="G42" i="6"/>
  <c r="M49" i="6"/>
  <c r="F49" i="6" s="1"/>
  <c r="G49" i="6"/>
  <c r="G48" i="6"/>
  <c r="M48" i="6"/>
  <c r="F48" i="6" s="1"/>
  <c r="M37" i="6"/>
  <c r="F37" i="6" s="1"/>
  <c r="G37" i="6"/>
  <c r="G12" i="6"/>
  <c r="M12" i="6"/>
  <c r="F12" i="6" s="1"/>
  <c r="K43" i="2"/>
  <c r="L43" i="6" s="1"/>
  <c r="G43" i="2"/>
  <c r="H43" i="2" s="1"/>
  <c r="I43" i="2" s="1"/>
  <c r="J43" i="2" s="1"/>
  <c r="N43" i="6" s="1"/>
  <c r="O43" i="6" s="1"/>
  <c r="G27" i="2"/>
  <c r="H27" i="2" s="1"/>
  <c r="I27" i="2" s="1"/>
  <c r="J27" i="2" s="1"/>
  <c r="N27" i="6" s="1"/>
  <c r="O27" i="6" s="1"/>
  <c r="K27" i="2"/>
  <c r="L27" i="6" s="1"/>
  <c r="K3" i="2"/>
  <c r="L3" i="6" s="1"/>
  <c r="G3" i="2"/>
  <c r="H3" i="2" s="1"/>
  <c r="I3" i="2" s="1"/>
  <c r="J3" i="2" s="1"/>
  <c r="N3" i="6" s="1"/>
  <c r="O3" i="6" s="1"/>
  <c r="G31" i="2"/>
  <c r="H31" i="2" s="1"/>
  <c r="I31" i="2" s="1"/>
  <c r="J31" i="2" s="1"/>
  <c r="N31" i="6" s="1"/>
  <c r="O31" i="6" s="1"/>
  <c r="K31" i="2"/>
  <c r="L31" i="6" s="1"/>
  <c r="K29" i="2"/>
  <c r="L29" i="6" s="1"/>
  <c r="G29" i="2"/>
  <c r="H29" i="2" s="1"/>
  <c r="I29" i="2" s="1"/>
  <c r="J29" i="2" s="1"/>
  <c r="N29" i="6" s="1"/>
  <c r="O29" i="6" s="1"/>
  <c r="K33" i="2"/>
  <c r="L33" i="6" s="1"/>
  <c r="G33" i="2"/>
  <c r="H33" i="2" s="1"/>
  <c r="I33" i="2" s="1"/>
  <c r="J33" i="2" s="1"/>
  <c r="N33" i="6" s="1"/>
  <c r="O33" i="6" s="1"/>
  <c r="K19" i="2"/>
  <c r="L19" i="6" s="1"/>
  <c r="G19" i="2"/>
  <c r="H19" i="2" s="1"/>
  <c r="I19" i="2" s="1"/>
  <c r="J19" i="2" s="1"/>
  <c r="N19" i="6" s="1"/>
  <c r="O19" i="6" s="1"/>
  <c r="G4" i="2"/>
  <c r="H4" i="2" s="1"/>
  <c r="I4" i="2" s="1"/>
  <c r="J4" i="2" s="1"/>
  <c r="N4" i="6" s="1"/>
  <c r="O4" i="6" s="1"/>
  <c r="K4" i="2"/>
  <c r="L4" i="6" s="1"/>
  <c r="G6" i="2"/>
  <c r="H6" i="2" s="1"/>
  <c r="I6" i="2" s="1"/>
  <c r="J6" i="2" s="1"/>
  <c r="N6" i="6" s="1"/>
  <c r="O6" i="6" s="1"/>
  <c r="K6" i="2"/>
  <c r="L6" i="6" s="1"/>
  <c r="G40" i="2"/>
  <c r="H40" i="2" s="1"/>
  <c r="I40" i="2" s="1"/>
  <c r="J40" i="2" s="1"/>
  <c r="N40" i="6" s="1"/>
  <c r="O40" i="6" s="1"/>
  <c r="K40" i="2"/>
  <c r="L40" i="6" s="1"/>
  <c r="G8" i="2"/>
  <c r="H8" i="2" s="1"/>
  <c r="I8" i="2" s="1"/>
  <c r="J8" i="2" s="1"/>
  <c r="N8" i="6" s="1"/>
  <c r="O8" i="6" s="1"/>
  <c r="K8" i="2"/>
  <c r="L8" i="6" s="1"/>
  <c r="K10" i="2"/>
  <c r="L10" i="6" s="1"/>
  <c r="G10" i="2"/>
  <c r="H10" i="2" s="1"/>
  <c r="I10" i="2" s="1"/>
  <c r="J10" i="2" s="1"/>
  <c r="N10" i="6" s="1"/>
  <c r="O10" i="6" s="1"/>
  <c r="K44" i="2"/>
  <c r="L44" i="6" s="1"/>
  <c r="G44" i="2"/>
  <c r="H44" i="2" s="1"/>
  <c r="I44" i="2" s="1"/>
  <c r="J44" i="2" s="1"/>
  <c r="N44" i="6" s="1"/>
  <c r="O44" i="6" s="1"/>
  <c r="G39" i="2"/>
  <c r="H39" i="2" s="1"/>
  <c r="I39" i="2" s="1"/>
  <c r="J39" i="2" s="1"/>
  <c r="N39" i="6" s="1"/>
  <c r="O39" i="6" s="1"/>
  <c r="K39" i="2"/>
  <c r="L39" i="6" s="1"/>
  <c r="K34" i="2"/>
  <c r="L34" i="6" s="1"/>
  <c r="G34" i="2"/>
  <c r="H34" i="2" s="1"/>
  <c r="I34" i="2" s="1"/>
  <c r="J34" i="2" s="1"/>
  <c r="N34" i="6" s="1"/>
  <c r="O34" i="6" s="1"/>
  <c r="G20" i="2"/>
  <c r="H20" i="2" s="1"/>
  <c r="I20" i="2" s="1"/>
  <c r="J20" i="2" s="1"/>
  <c r="N20" i="6" s="1"/>
  <c r="O20" i="6" s="1"/>
  <c r="K20" i="2"/>
  <c r="L20" i="6" s="1"/>
  <c r="K15" i="2"/>
  <c r="L15" i="6" s="1"/>
  <c r="G15" i="2"/>
  <c r="H15" i="2" s="1"/>
  <c r="I15" i="2" s="1"/>
  <c r="J15" i="2" s="1"/>
  <c r="N15" i="6" s="1"/>
  <c r="O15" i="6" s="1"/>
  <c r="G5" i="2"/>
  <c r="H5" i="2" s="1"/>
  <c r="I5" i="2" s="1"/>
  <c r="J5" i="2" s="1"/>
  <c r="N5" i="6" s="1"/>
  <c r="O5" i="6" s="1"/>
  <c r="K5" i="2"/>
  <c r="L5" i="6" s="1"/>
  <c r="G16" i="2"/>
  <c r="H16" i="2" s="1"/>
  <c r="I16" i="2" s="1"/>
  <c r="J16" i="2" s="1"/>
  <c r="N16" i="6" s="1"/>
  <c r="O16" i="6" s="1"/>
  <c r="K16" i="2"/>
  <c r="L16" i="6" s="1"/>
  <c r="K18" i="2"/>
  <c r="L18" i="6" s="1"/>
  <c r="G18" i="2"/>
  <c r="H18" i="2" s="1"/>
  <c r="I18" i="2" s="1"/>
  <c r="J18" i="2" s="1"/>
  <c r="N18" i="6" s="1"/>
  <c r="O18" i="6" s="1"/>
  <c r="G17" i="2"/>
  <c r="H17" i="2" s="1"/>
  <c r="I17" i="2" s="1"/>
  <c r="J17" i="2" s="1"/>
  <c r="N17" i="6" s="1"/>
  <c r="O17" i="6" s="1"/>
  <c r="K17" i="2"/>
  <c r="L17" i="6" s="1"/>
  <c r="K21" i="2"/>
  <c r="L21" i="6" s="1"/>
  <c r="G21" i="2"/>
  <c r="H21" i="2" s="1"/>
  <c r="I21" i="2" s="1"/>
  <c r="J21" i="2" s="1"/>
  <c r="N21" i="6" s="1"/>
  <c r="O21" i="6" s="1"/>
  <c r="J30" i="2"/>
  <c r="N30" i="6" s="1"/>
  <c r="O30" i="6" s="1"/>
  <c r="K30" i="2"/>
  <c r="L30" i="6" s="1"/>
  <c r="K28" i="2"/>
  <c r="L28" i="6" s="1"/>
  <c r="G28" i="2"/>
  <c r="H28" i="2" s="1"/>
  <c r="I28" i="2" s="1"/>
  <c r="J28" i="2" s="1"/>
  <c r="N28" i="6" s="1"/>
  <c r="O28" i="6" s="1"/>
  <c r="G9" i="2"/>
  <c r="H9" i="2" s="1"/>
  <c r="I9" i="2" s="1"/>
  <c r="J9" i="2" s="1"/>
  <c r="N9" i="6" s="1"/>
  <c r="O9" i="6" s="1"/>
  <c r="K9" i="2"/>
  <c r="L9" i="6" s="1"/>
  <c r="K7" i="2"/>
  <c r="L7" i="6" s="1"/>
  <c r="G7" i="2"/>
  <c r="H7" i="2" s="1"/>
  <c r="I7" i="2" s="1"/>
  <c r="J7" i="2" s="1"/>
  <c r="N7" i="6" s="1"/>
  <c r="O7" i="6" s="1"/>
  <c r="G32" i="2"/>
  <c r="H32" i="2" s="1"/>
  <c r="I32" i="2" s="1"/>
  <c r="J32" i="2" s="1"/>
  <c r="N32" i="6" s="1"/>
  <c r="O32" i="6" s="1"/>
  <c r="K32" i="2"/>
  <c r="L32" i="6" s="1"/>
  <c r="G45" i="2"/>
  <c r="H45" i="2" s="1"/>
  <c r="I45" i="2" s="1"/>
  <c r="J45" i="2" s="1"/>
  <c r="N45" i="6" s="1"/>
  <c r="O45" i="6" s="1"/>
  <c r="K45" i="2"/>
  <c r="L45" i="6" s="1"/>
  <c r="K22" i="2"/>
  <c r="L22" i="6" s="1"/>
  <c r="G22" i="2"/>
  <c r="H22" i="2" s="1"/>
  <c r="I22" i="2" s="1"/>
  <c r="J22" i="2" s="1"/>
  <c r="N22" i="6" s="1"/>
  <c r="O22" i="6" s="1"/>
  <c r="K46" i="2"/>
  <c r="L46" i="6" s="1"/>
  <c r="G46" i="2"/>
  <c r="H46" i="2" s="1"/>
  <c r="I46" i="2" s="1"/>
  <c r="J46" i="2" s="1"/>
  <c r="N46" i="6" s="1"/>
  <c r="O46" i="6" s="1"/>
  <c r="G41" i="2"/>
  <c r="H41" i="2" s="1"/>
  <c r="I41" i="2" s="1"/>
  <c r="J41" i="2" s="1"/>
  <c r="N41" i="6" s="1"/>
  <c r="O41" i="6" s="1"/>
  <c r="K41" i="2"/>
  <c r="L41" i="6" s="1"/>
  <c r="K35" i="2"/>
  <c r="L35" i="6" s="1"/>
  <c r="K26" i="2"/>
  <c r="L26" i="6" s="1"/>
  <c r="G26" i="2"/>
  <c r="H26" i="2" s="1"/>
  <c r="I26" i="2" s="1"/>
  <c r="J26" i="2" s="1"/>
  <c r="N26" i="6" s="1"/>
  <c r="O26" i="6" s="1"/>
  <c r="G25" i="2"/>
  <c r="H25" i="2" s="1"/>
  <c r="I25" i="2" s="1"/>
  <c r="J25" i="2" s="1"/>
  <c r="N25" i="6" s="1"/>
  <c r="O25" i="6" s="1"/>
  <c r="K25" i="2"/>
  <c r="L25" i="6" s="1"/>
  <c r="G11" i="2"/>
  <c r="H11" i="2" s="1"/>
  <c r="I11" i="2" s="1"/>
  <c r="J11" i="2" s="1"/>
  <c r="N11" i="6" s="1"/>
  <c r="O11" i="6" s="1"/>
  <c r="K11" i="2"/>
  <c r="L11" i="6" s="1"/>
  <c r="G13" i="2"/>
  <c r="H13" i="2" s="1"/>
  <c r="I13" i="2" s="1"/>
  <c r="J13" i="2" s="1"/>
  <c r="N13" i="6" s="1"/>
  <c r="O13" i="6" s="1"/>
  <c r="K13" i="2"/>
  <c r="L13" i="6" s="1"/>
  <c r="K14" i="2"/>
  <c r="L14" i="6" s="1"/>
  <c r="G14" i="2"/>
  <c r="H14" i="2" s="1"/>
  <c r="I14" i="2" s="1"/>
  <c r="J14" i="2" s="1"/>
  <c r="N14" i="6" s="1"/>
  <c r="O14" i="6" s="1"/>
  <c r="K24" i="2"/>
  <c r="L24" i="6" s="1"/>
  <c r="G24" i="2"/>
  <c r="H24" i="2" s="1"/>
  <c r="I24" i="2" s="1"/>
  <c r="J24" i="2" s="1"/>
  <c r="N24" i="6" s="1"/>
  <c r="O24" i="6" s="1"/>
  <c r="G23" i="2"/>
  <c r="H23" i="2" s="1"/>
  <c r="I23" i="2" s="1"/>
  <c r="J23" i="2" s="1"/>
  <c r="N23" i="6" s="1"/>
  <c r="O23" i="6" s="1"/>
  <c r="K23" i="2"/>
  <c r="L23" i="6" s="1"/>
  <c r="K36" i="2"/>
  <c r="L36" i="6" s="1"/>
  <c r="G36" i="2"/>
  <c r="H36" i="2" s="1"/>
  <c r="I36" i="2" s="1"/>
  <c r="J36" i="2" s="1"/>
  <c r="N36" i="6" s="1"/>
  <c r="O36" i="6" s="1"/>
  <c r="K38" i="2"/>
  <c r="L38" i="6" s="1"/>
  <c r="G38" i="2"/>
  <c r="H38" i="2" s="1"/>
  <c r="I38" i="2" s="1"/>
  <c r="J38" i="2" s="1"/>
  <c r="N38" i="6" s="1"/>
  <c r="O38" i="6" s="1"/>
  <c r="M41" i="6" l="1"/>
  <c r="F41" i="6" s="1"/>
  <c r="G41" i="6"/>
  <c r="M40" i="6"/>
  <c r="F40" i="6" s="1"/>
  <c r="G40" i="6"/>
  <c r="G39" i="6"/>
  <c r="M39" i="6"/>
  <c r="F39" i="6" s="1"/>
  <c r="M30" i="6"/>
  <c r="F30" i="6" s="1"/>
  <c r="G30" i="6"/>
  <c r="M29" i="6"/>
  <c r="F29" i="6" s="1"/>
  <c r="G29" i="6"/>
  <c r="M28" i="6"/>
  <c r="F28" i="6" s="1"/>
  <c r="G28" i="6"/>
  <c r="M27" i="6"/>
  <c r="F27" i="6" s="1"/>
  <c r="G27" i="6"/>
  <c r="M18" i="6"/>
  <c r="F18" i="6" s="1"/>
  <c r="G18" i="6"/>
  <c r="M17" i="6"/>
  <c r="F17" i="6" s="1"/>
  <c r="G17" i="6"/>
  <c r="M16" i="6"/>
  <c r="F16" i="6" s="1"/>
  <c r="G16" i="6"/>
  <c r="M15" i="6"/>
  <c r="F15" i="6" s="1"/>
  <c r="G15" i="6"/>
  <c r="G6" i="6"/>
  <c r="M6" i="6"/>
  <c r="F6" i="6" s="1"/>
  <c r="M5" i="6"/>
  <c r="F5" i="6" s="1"/>
  <c r="G5" i="6"/>
  <c r="M4" i="6"/>
  <c r="F4" i="6" s="1"/>
  <c r="G4" i="6"/>
  <c r="M3" i="6"/>
  <c r="F3" i="6" s="1"/>
  <c r="G3" i="6"/>
  <c r="M46" i="6"/>
  <c r="F46" i="6" s="1"/>
  <c r="G46" i="6"/>
  <c r="M45" i="6"/>
  <c r="F45" i="6" s="1"/>
  <c r="G45" i="6"/>
  <c r="G44" i="6"/>
  <c r="M44" i="6"/>
  <c r="F44" i="6" s="1"/>
  <c r="M43" i="6"/>
  <c r="F43" i="6" s="1"/>
  <c r="G43" i="6"/>
  <c r="M34" i="6"/>
  <c r="F34" i="6" s="1"/>
  <c r="G34" i="6"/>
  <c r="M33" i="6"/>
  <c r="F33" i="6" s="1"/>
  <c r="G33" i="6"/>
  <c r="G32" i="6"/>
  <c r="M32" i="6"/>
  <c r="F32" i="6" s="1"/>
  <c r="M31" i="6"/>
  <c r="F31" i="6" s="1"/>
  <c r="G31" i="6"/>
  <c r="G22" i="6"/>
  <c r="M22" i="6"/>
  <c r="F22" i="6" s="1"/>
  <c r="M21" i="6"/>
  <c r="F21" i="6" s="1"/>
  <c r="G21" i="6"/>
  <c r="G20" i="6"/>
  <c r="M20" i="6"/>
  <c r="F20" i="6" s="1"/>
  <c r="M19" i="6"/>
  <c r="F19" i="6" s="1"/>
  <c r="G19" i="6"/>
  <c r="G10" i="6"/>
  <c r="M10" i="6"/>
  <c r="F10" i="6" s="1"/>
  <c r="M9" i="6"/>
  <c r="F9" i="6" s="1"/>
  <c r="G9" i="6"/>
  <c r="M8" i="6"/>
  <c r="F8" i="6" s="1"/>
  <c r="G8" i="6"/>
  <c r="G7" i="6"/>
  <c r="M7" i="6"/>
  <c r="F7" i="6" s="1"/>
  <c r="M11" i="6"/>
  <c r="F11" i="6" s="1"/>
  <c r="G11" i="6"/>
  <c r="M38" i="6"/>
  <c r="F38" i="6" s="1"/>
  <c r="G38" i="6"/>
  <c r="M36" i="6"/>
  <c r="F36" i="6" s="1"/>
  <c r="G36" i="6"/>
  <c r="G35" i="6"/>
  <c r="M35" i="6"/>
  <c r="F35" i="6" s="1"/>
  <c r="M26" i="6"/>
  <c r="F26" i="6" s="1"/>
  <c r="G26" i="6"/>
  <c r="G24" i="6"/>
  <c r="M24" i="6"/>
  <c r="F24" i="6" s="1"/>
  <c r="G23" i="6"/>
  <c r="M23" i="6"/>
  <c r="F23" i="6" s="1"/>
  <c r="M14" i="6"/>
  <c r="F14" i="6" s="1"/>
  <c r="G14" i="6"/>
  <c r="M13" i="6"/>
  <c r="F13" i="6" s="1"/>
  <c r="G13" i="6"/>
  <c r="M25" i="6"/>
  <c r="F25" i="6" s="1"/>
  <c r="G25" i="6"/>
</calcChain>
</file>

<file path=xl/sharedStrings.xml><?xml version="1.0" encoding="utf-8"?>
<sst xmlns="http://schemas.openxmlformats.org/spreadsheetml/2006/main" count="2552" uniqueCount="207">
  <si>
    <t>ACCURACY OF LANDFIRE, SPECIES</t>
  </si>
  <si>
    <t>Reference Image (FIELD)</t>
  </si>
  <si>
    <t>Classified image (LANDFIRE)</t>
  </si>
  <si>
    <t>ACCURACY OF LANDFIRE, COMMUNITY</t>
  </si>
  <si>
    <t>ACCURACY OF GAP</t>
  </si>
  <si>
    <t>Classified image (GAP)</t>
  </si>
  <si>
    <t>REVISED CATEGORIES OF LAND COVER</t>
  </si>
  <si>
    <t>IDAHO: BROWN'S BENCH</t>
  </si>
  <si>
    <t>Confusion Matrix</t>
  </si>
  <si>
    <t>BROWN'S BENCH       Point, Species</t>
  </si>
  <si>
    <t>Introduced Upland Vegetation (Herbaceous)</t>
  </si>
  <si>
    <t>Sagebrush-Grass</t>
  </si>
  <si>
    <t>Mountain Big Sagebrush</t>
  </si>
  <si>
    <t>Wyoming Big Sagebrush</t>
  </si>
  <si>
    <t>Low Sagebrush</t>
  </si>
  <si>
    <t>Black Sagebrush</t>
  </si>
  <si>
    <t>Other</t>
  </si>
  <si>
    <t>Total</t>
  </si>
  <si>
    <t>Commission Error</t>
  </si>
  <si>
    <t>User’s Accuracy</t>
  </si>
  <si>
    <t>BROWN'S BENCH       Point, Community</t>
  </si>
  <si>
    <t>Big Sagebrush Cover Type</t>
  </si>
  <si>
    <t>Dwarf Sagebrush Cover Type</t>
  </si>
  <si>
    <t>BROWN'S BENCH       Point,            GAP</t>
  </si>
  <si>
    <t>Columbia Plateau Little (Low) Sagebrush Steppe</t>
  </si>
  <si>
    <t>Great Basin Xeric Mixed Sagebrush Shrubland</t>
  </si>
  <si>
    <t>Inter-Mountain Basins Big Sagebrush Shrubland</t>
  </si>
  <si>
    <t>Inter-Mountain Basins Big Sagebrush Steppe</t>
  </si>
  <si>
    <t>Inter-Mountain Basins Montane Sagebrush Steppe</t>
  </si>
  <si>
    <t>Inter-Mountain Basins Semi-Desert Grassland</t>
  </si>
  <si>
    <t>Introduced Upland Vegetation – Annual Grassland</t>
  </si>
  <si>
    <t>Ommission Error</t>
  </si>
  <si>
    <t>Kappa</t>
  </si>
  <si>
    <t>Producer's Accuracy</t>
  </si>
  <si>
    <t>Overall accuracy</t>
  </si>
  <si>
    <t>Omission Error</t>
  </si>
  <si>
    <t>BROWN'S BENCH      100 m, Species</t>
  </si>
  <si>
    <t>BROWN'S BENCH       100 m, Community</t>
  </si>
  <si>
    <t>BROWN'S BENCH             100 m,            GAP</t>
  </si>
  <si>
    <t>BROWN'S BENCH          1 km, Species</t>
  </si>
  <si>
    <t>BROWN'S BENCH         1 km, Community</t>
  </si>
  <si>
    <t>BROWN'S BENCH                  1 km,               GAP</t>
  </si>
  <si>
    <t>BROWN'S BENCH      5 km,  Species</t>
  </si>
  <si>
    <t>BROWN'S BENCH         5 km, Community</t>
  </si>
  <si>
    <t>BROWN'S BENCH                  5 km,               GAP</t>
  </si>
  <si>
    <t>IDAHO: CRATERS</t>
  </si>
  <si>
    <t>CRATERS     Point, Species</t>
  </si>
  <si>
    <t>CRATERS Point, Community</t>
  </si>
  <si>
    <t>CRATERS       Point,              GAP</t>
  </si>
  <si>
    <t>CRATERS       100 m, Species</t>
  </si>
  <si>
    <t>CRATERS 100 m, Community</t>
  </si>
  <si>
    <t>CRATERS                  100 m,               GAP</t>
  </si>
  <si>
    <t>CRATERS           1 km, Species</t>
  </si>
  <si>
    <t>CRATERS      1 km, Community</t>
  </si>
  <si>
    <t>CRATERS                  1 km,               GAP</t>
  </si>
  <si>
    <t>CRATERS           5 km,  Species</t>
  </si>
  <si>
    <t>CRATERS      5 km, Community</t>
  </si>
  <si>
    <t>CRATERS               5 km,               GAP</t>
  </si>
  <si>
    <t>IDAHO: RAFT RIVER</t>
  </si>
  <si>
    <t>RAFT RIVER      Point, Species</t>
  </si>
  <si>
    <t>RAFT RIVER       Point, Community</t>
  </si>
  <si>
    <t>RAFT RIVER                  Point,               GAP</t>
  </si>
  <si>
    <t>RAFT RIVER       100 m, Species</t>
  </si>
  <si>
    <t>RAFT RIVER       100 m, Community</t>
  </si>
  <si>
    <t>RAFT RIVER                  100 m,               GAP</t>
  </si>
  <si>
    <t>RAFT RIVER            1 km, Species</t>
  </si>
  <si>
    <t>RAFT RIVER       1 km, Community</t>
  </si>
  <si>
    <t>RAFT RIVER                 1 km,               GAP</t>
  </si>
  <si>
    <t>RAFT RIVER           5 km,  Species</t>
  </si>
  <si>
    <t>RAFT RIVER       5 km, Community</t>
  </si>
  <si>
    <t>RAFT RIVER                 5 km,               GAP</t>
  </si>
  <si>
    <t>WYOMING</t>
  </si>
  <si>
    <t>Wyoming Point, Species</t>
  </si>
  <si>
    <t>WYOMING       Point, Community</t>
  </si>
  <si>
    <t>WYOMING               Point,               GAP</t>
  </si>
  <si>
    <t>Introduced Upland Vegetation – Herbaceous</t>
  </si>
  <si>
    <t>Producer’s Accuracy</t>
  </si>
  <si>
    <t>Wyoming 100 m, Species</t>
  </si>
  <si>
    <t>WYOMING       100 m, Community</t>
  </si>
  <si>
    <t>WYOMING                 1OO m,               GAP</t>
  </si>
  <si>
    <t>Wyoming 1 km, Species</t>
  </si>
  <si>
    <t>WYOMING       1 km, Community</t>
  </si>
  <si>
    <t>WYOMING                 1 km,               GAP</t>
  </si>
  <si>
    <t>Wyoming 5 km, Species</t>
  </si>
  <si>
    <t>WYOMING       5 km, Community</t>
  </si>
  <si>
    <t>WYOMING                 5 km,               GAP</t>
  </si>
  <si>
    <t>Kappa calculations</t>
  </si>
  <si>
    <t>Site</t>
  </si>
  <si>
    <t>Data set</t>
  </si>
  <si>
    <t>Spatial Scale</t>
  </si>
  <si>
    <t>Observed</t>
  </si>
  <si>
    <t>Expected</t>
  </si>
  <si>
    <t>N</t>
  </si>
  <si>
    <t>Step 1 SD</t>
  </si>
  <si>
    <t>Standard deviation</t>
  </si>
  <si>
    <t>Standard Error</t>
  </si>
  <si>
    <t>SE for manuscript</t>
  </si>
  <si>
    <t>Brown's Bench</t>
  </si>
  <si>
    <t>GAP</t>
  </si>
  <si>
    <t>0 m</t>
  </si>
  <si>
    <t>100 m</t>
  </si>
  <si>
    <t>1000 m</t>
  </si>
  <si>
    <t>5000 m</t>
  </si>
  <si>
    <t>LANDFIRE, community</t>
  </si>
  <si>
    <t>LANDFIRE, species</t>
  </si>
  <si>
    <t>Craters</t>
  </si>
  <si>
    <t>Raft River</t>
  </si>
  <si>
    <t>Wyoming</t>
  </si>
  <si>
    <t>Point, Forage</t>
  </si>
  <si>
    <t>Point, Random</t>
  </si>
  <si>
    <t>Po</t>
  </si>
  <si>
    <t>Pe</t>
  </si>
  <si>
    <t>ACCURACY OF GAP, ECOLOGICAL SYSTEMS</t>
  </si>
  <si>
    <t>IDAHO: BROWN'S BENCH, FORAGE SITES ONLY</t>
  </si>
  <si>
    <t>IDAHO: BROWN'S BENCH, FORAGE</t>
  </si>
  <si>
    <t>IDAHO: BROWN'S BENCH, RANDOM SITES ONLY</t>
  </si>
  <si>
    <t>IDAHO: BROWN'S BENCH, RANDOM</t>
  </si>
  <si>
    <t>IDAHO: CRATERS, FORAGE SITES ONLY</t>
  </si>
  <si>
    <t>IDAHO: CRATERS, FORAGE</t>
  </si>
  <si>
    <t>CRATERS      Point, Species</t>
  </si>
  <si>
    <t>CRATERS       Point, Community</t>
  </si>
  <si>
    <t>CRATERS      Point,            GAP</t>
  </si>
  <si>
    <t>IDAHO: CRATERS, RANDOM SITES ONLY</t>
  </si>
  <si>
    <t>IDAHO: CRATERS, RANDOM</t>
  </si>
  <si>
    <t>CRATERS       Point, Species</t>
  </si>
  <si>
    <t>CRATERS    Point,            GAP</t>
  </si>
  <si>
    <t>IDAHO: RAFT RIVER, FORAGE SITES ONLY</t>
  </si>
  <si>
    <t>IDAHO: RAFT RIVER, FORAGE</t>
  </si>
  <si>
    <t>IDAHO:RAFT RIVER, FORAGE</t>
  </si>
  <si>
    <t>RAFT RIVER       Point, Species</t>
  </si>
  <si>
    <t>RAFT RIVER       Point,            GAP</t>
  </si>
  <si>
    <t>IDAHO: RAFT RIVER, RANDOM SITES ONLY</t>
  </si>
  <si>
    <t>IDAHO: RAFT RIVER, RANDOM</t>
  </si>
  <si>
    <t>df</t>
  </si>
  <si>
    <t>Grand Total of RxC Products</t>
  </si>
  <si>
    <t>RxC Products</t>
  </si>
  <si>
    <t>Kappa Calculations</t>
  </si>
  <si>
    <t>NA</t>
  </si>
  <si>
    <r>
      <rPr>
        <b/>
        <sz val="8"/>
        <color theme="1"/>
        <rFont val="Times Roman"/>
      </rPr>
      <t>Table 3</t>
    </r>
    <r>
      <rPr>
        <sz val="8"/>
        <color theme="1"/>
        <rFont val="Times Roman"/>
      </rPr>
      <t>. Accuracy scores (overall accuracy, kappa values and standard error) for each dataset at every spatial scale tested (at the grid cell/point, within a 100 m radius, within a 1 km radius, and within a 5 km radius). The accuracy rank compares overall accuracy values, with the most accurate spatial scales and datasets having lower numbers.</t>
    </r>
  </si>
  <si>
    <t>Values used to caluculate Kappa and SE; Values linked to "Calclulating Kappa Errors" Tab</t>
  </si>
  <si>
    <t>Values used to calculate SE for overall Accuracy; values linked to "Calclulating Kappa Errors" Tab</t>
  </si>
  <si>
    <t>Study Area</t>
  </si>
  <si>
    <t>Land Cover Dataset</t>
  </si>
  <si>
    <t>Scale</t>
  </si>
  <si>
    <t>Overall Accuracy (%: SE)</t>
  </si>
  <si>
    <t>Kappa (SE)</t>
  </si>
  <si>
    <t>Kappa Agreement Level</t>
  </si>
  <si>
    <t>Accuracy Rank (based on Overall Accuracy</t>
  </si>
  <si>
    <t>Overall accuracy raw</t>
  </si>
  <si>
    <t>overall accuracy round (%)</t>
  </si>
  <si>
    <t>kappa raw</t>
  </si>
  <si>
    <t>kappa round</t>
  </si>
  <si>
    <t>kappa se raw</t>
  </si>
  <si>
    <t>kappa se round</t>
  </si>
  <si>
    <t>overall accuracy sample size</t>
  </si>
  <si>
    <t>overall accuracy raw</t>
  </si>
  <si>
    <t>overall accuracy SE raw</t>
  </si>
  <si>
    <t>overall accuracy SE round (percent)</t>
  </si>
  <si>
    <t>Ecological systems</t>
  </si>
  <si>
    <t>1 km</t>
  </si>
  <si>
    <t>5 km</t>
  </si>
  <si>
    <t>LANDFIRE</t>
  </si>
  <si>
    <t>Community-level</t>
  </si>
  <si>
    <t>Species-level</t>
  </si>
  <si>
    <r>
      <t xml:space="preserve">Table 4. </t>
    </r>
    <r>
      <rPr>
        <sz val="12"/>
        <color theme="1"/>
        <rFont val="Times Roman"/>
      </rPr>
      <t xml:space="preserve">Accuracy and kappa values for three study areas in Idaho (Brown’s Bench, Craters, and Raft River), comparing accuracy and kappa and standard error at used (forage) patches and available (random) patches of sagebrush (Artemisia sp.) in greater sage-grouse (Centrocercus urophasianus) habitat. </t>
    </r>
  </si>
  <si>
    <t>Forage Patches</t>
  </si>
  <si>
    <t>Random Patches</t>
  </si>
  <si>
    <t>Data Set</t>
  </si>
  <si>
    <t>Overall Accuracy (%; SE)</t>
  </si>
  <si>
    <t>Higher Overall Accuracy</t>
  </si>
  <si>
    <t>Higher Kappa</t>
  </si>
  <si>
    <t>Forage Kappa Raw</t>
  </si>
  <si>
    <t>Forage Kappa round</t>
  </si>
  <si>
    <t>Forage Kappa SE Round</t>
  </si>
  <si>
    <t>Random Kappa Raw</t>
  </si>
  <si>
    <t>Random Kappa Round</t>
  </si>
  <si>
    <t>Random Kappa SE Round</t>
  </si>
  <si>
    <t>forage overall accuracy sample size</t>
  </si>
  <si>
    <t>Forage overall accuracy raw</t>
  </si>
  <si>
    <t>Forage overall accuracy round</t>
  </si>
  <si>
    <t>forage overall accuracy SE raw</t>
  </si>
  <si>
    <t>forage overall accuracy SE round (percent)</t>
  </si>
  <si>
    <t>random overall accuracy sample size</t>
  </si>
  <si>
    <t>random overall accuracy raw</t>
  </si>
  <si>
    <t>random overall accuracy round (percent)</t>
  </si>
  <si>
    <t>random overall accuracy SE raw</t>
  </si>
  <si>
    <t>random overall accuracy SE round (percent)</t>
  </si>
  <si>
    <t>Overall accuracy percent</t>
  </si>
  <si>
    <t>Circle</t>
  </si>
  <si>
    <t>LANDFIRE species</t>
  </si>
  <si>
    <t>Square</t>
  </si>
  <si>
    <t>LANDFIRE community</t>
  </si>
  <si>
    <t>Triangle</t>
  </si>
  <si>
    <t>Long dashed, black</t>
  </si>
  <si>
    <t>Small dotted, gray</t>
  </si>
  <si>
    <t>Solid, black</t>
  </si>
  <si>
    <t>Distribution</t>
  </si>
  <si>
    <t>Test</t>
  </si>
  <si>
    <t>S or T</t>
  </si>
  <si>
    <t>p-value</t>
  </si>
  <si>
    <t>correlated?</t>
  </si>
  <si>
    <t>Normal</t>
  </si>
  <si>
    <t>Pearson</t>
  </si>
  <si>
    <t>LF Community</t>
  </si>
  <si>
    <t>Not normal</t>
  </si>
  <si>
    <t>Spearman rank</t>
  </si>
  <si>
    <t>LF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</si>
</sst>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
    <numFmt numFmtId="167" formatCode="0.00000000"/>
    <numFmt numFmtId="168" formatCode="0.0"/>
  </numFmts>
  <fonts count="42">
    <font>
      <sz val="12"/>
      <color theme="1"/>
      <name val="Calibri"/>
      <family val="2"/>
      <scheme val="minor"/>
    </font>
    <font>
      <sz val="12"/>
      <color theme="1"/>
      <name val="Calibri"/>
      <family val="2"/>
      <scheme val="minor"/>
    </font>
    <font>
      <b/>
      <sz val="18"/>
      <color theme="1"/>
      <name val="Calibri"/>
      <family val="2"/>
      <scheme val="minor"/>
    </font>
    <font>
      <sz val="10"/>
      <color theme="1"/>
      <name val="Calibri Light"/>
      <family val="1"/>
      <scheme val="major"/>
    </font>
    <font>
      <sz val="16"/>
      <color theme="1"/>
      <name val="Calibri"/>
      <family val="2"/>
      <scheme val="minor"/>
    </font>
    <font>
      <b/>
      <sz val="14"/>
      <color rgb="FF000000"/>
      <name val="Calibri"/>
      <family val="2"/>
      <scheme val="minor"/>
    </font>
    <font>
      <sz val="10"/>
      <color rgb="FF000000"/>
      <name val="Cambria"/>
      <family val="1"/>
    </font>
    <font>
      <b/>
      <sz val="10"/>
      <color rgb="FF000000"/>
      <name val="Cambria"/>
      <family val="1"/>
    </font>
    <font>
      <b/>
      <sz val="10"/>
      <name val="Calibri Light"/>
      <family val="1"/>
      <scheme val="major"/>
    </font>
    <font>
      <b/>
      <sz val="9"/>
      <name val="Cambria"/>
      <family val="1"/>
    </font>
    <font>
      <b/>
      <sz val="10"/>
      <color theme="1"/>
      <name val="Cambria"/>
      <family val="1"/>
    </font>
    <font>
      <sz val="10"/>
      <color theme="1"/>
      <name val="Times"/>
      <family val="1"/>
    </font>
    <font>
      <b/>
      <sz val="10"/>
      <color theme="1"/>
      <name val="Times"/>
      <family val="1"/>
    </font>
    <font>
      <b/>
      <sz val="10"/>
      <color rgb="FF000000"/>
      <name val="Calibri Light"/>
      <family val="1"/>
      <scheme val="major"/>
    </font>
    <font>
      <b/>
      <sz val="11"/>
      <name val="Calibri Light"/>
      <family val="1"/>
      <scheme val="major"/>
    </font>
    <font>
      <sz val="11"/>
      <name val="Calibri Light"/>
      <family val="1"/>
      <scheme val="major"/>
    </font>
    <font>
      <b/>
      <sz val="11"/>
      <name val="Times"/>
      <family val="1"/>
    </font>
    <font>
      <b/>
      <sz val="10"/>
      <color rgb="FF000000"/>
      <name val="Times"/>
      <family val="1"/>
    </font>
    <font>
      <b/>
      <sz val="10"/>
      <color theme="1"/>
      <name val="Calibri Light"/>
      <family val="1"/>
      <scheme val="major"/>
    </font>
    <font>
      <sz val="10"/>
      <name val="Calibri Light"/>
      <family val="1"/>
      <scheme val="major"/>
    </font>
    <font>
      <sz val="12"/>
      <color rgb="FF000000"/>
      <name val="Calibri"/>
      <family val="2"/>
      <scheme val="minor"/>
    </font>
    <font>
      <b/>
      <sz val="14"/>
      <color theme="1"/>
      <name val="Calibri"/>
      <family val="2"/>
      <scheme val="minor"/>
    </font>
    <font>
      <sz val="10"/>
      <color theme="1"/>
      <name val="Cambria"/>
      <family val="1"/>
    </font>
    <font>
      <sz val="11"/>
      <name val="Cambria"/>
      <family val="1"/>
    </font>
    <font>
      <sz val="10"/>
      <color rgb="FF000000"/>
      <name val="Calibri Light"/>
      <family val="1"/>
      <scheme val="major"/>
    </font>
    <font>
      <b/>
      <sz val="12"/>
      <color theme="1"/>
      <name val="Calibri"/>
      <family val="2"/>
      <scheme val="minor"/>
    </font>
    <font>
      <sz val="12"/>
      <name val="Calibri"/>
      <family val="2"/>
      <scheme val="minor"/>
    </font>
    <font>
      <sz val="12"/>
      <color rgb="FF006100"/>
      <name val="Calibri"/>
      <family val="2"/>
      <scheme val="minor"/>
    </font>
    <font>
      <sz val="12"/>
      <color rgb="FF9C0006"/>
      <name val="Calibri"/>
      <family val="2"/>
      <scheme val="minor"/>
    </font>
    <font>
      <b/>
      <sz val="10"/>
      <color theme="2" tint="-9.9978637043366805E-2"/>
      <name val="Cambria"/>
      <family val="1"/>
    </font>
    <font>
      <sz val="12"/>
      <color theme="2" tint="-9.9978637043366805E-2"/>
      <name val="Calibri"/>
      <family val="2"/>
      <scheme val="minor"/>
    </font>
    <font>
      <sz val="16"/>
      <color theme="2" tint="-9.9978637043366805E-2"/>
      <name val="Calibri"/>
      <family val="2"/>
      <scheme val="minor"/>
    </font>
    <font>
      <sz val="10"/>
      <color theme="2" tint="-9.9978637043366805E-2"/>
      <name val="Calibri Light"/>
      <family val="1"/>
      <scheme val="major"/>
    </font>
    <font>
      <sz val="8"/>
      <color theme="1"/>
      <name val="Times Roman"/>
    </font>
    <font>
      <b/>
      <sz val="8"/>
      <color theme="1"/>
      <name val="Times Roman"/>
    </font>
    <font>
      <b/>
      <i/>
      <sz val="11"/>
      <color theme="1"/>
      <name val="Calibri"/>
      <family val="2"/>
      <scheme val="minor"/>
    </font>
    <font>
      <b/>
      <i/>
      <sz val="12"/>
      <color theme="1"/>
      <name val="Calibri"/>
      <family val="2"/>
      <scheme val="minor"/>
    </font>
    <font>
      <b/>
      <sz val="8"/>
      <color theme="1"/>
      <name val="Calibri"/>
      <family val="2"/>
      <scheme val="minor"/>
    </font>
    <font>
      <sz val="8"/>
      <color theme="1"/>
      <name val="Calibri"/>
      <family val="2"/>
      <scheme val="minor"/>
    </font>
    <font>
      <b/>
      <sz val="12"/>
      <color theme="1"/>
      <name val="Times Roman"/>
    </font>
    <font>
      <sz val="12"/>
      <color theme="1"/>
      <name val="Times Roman"/>
    </font>
    <font>
      <b/>
      <u/>
      <sz val="12"/>
      <color theme="1"/>
      <name val="Times Roman"/>
    </font>
  </fonts>
  <fills count="13">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theme="7" tint="0.59999389629810485"/>
        <bgColor indexed="64"/>
      </patternFill>
    </fill>
  </fills>
  <borders count="23">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7" fillId="10" borderId="0" applyNumberFormat="0" applyBorder="0" applyAlignment="0" applyProtection="0"/>
    <xf numFmtId="0" fontId="28" fillId="11" borderId="0" applyNumberFormat="0" applyBorder="0" applyAlignment="0" applyProtection="0"/>
  </cellStyleXfs>
  <cellXfs count="218">
    <xf numFmtId="0" fontId="0" fillId="0" borderId="0" xfId="0"/>
    <xf numFmtId="0" fontId="2" fillId="0" borderId="0" xfId="0" applyFont="1"/>
    <xf numFmtId="0" fontId="0" fillId="2" borderId="0" xfId="0" applyFill="1"/>
    <xf numFmtId="0" fontId="0" fillId="3" borderId="0" xfId="0" applyFill="1"/>
    <xf numFmtId="0" fontId="3" fillId="0" borderId="0" xfId="0" applyFont="1" applyAlignment="1">
      <alignment horizontal="center" wrapText="1"/>
    </xf>
    <xf numFmtId="0" fontId="4"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5" fillId="0" borderId="2" xfId="0" applyFont="1" applyBorder="1" applyAlignment="1">
      <alignment horizontal="center" vertical="center" wrapText="1"/>
    </xf>
    <xf numFmtId="0" fontId="6" fillId="2"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9" fillId="0" borderId="3" xfId="0" applyFont="1" applyBorder="1" applyAlignment="1">
      <alignment horizontal="center" vertical="center" wrapText="1"/>
    </xf>
    <xf numFmtId="0" fontId="6" fillId="0" borderId="5" xfId="0" applyFont="1" applyBorder="1" applyAlignment="1">
      <alignment horizontal="center" vertical="center" wrapText="1"/>
    </xf>
    <xf numFmtId="0" fontId="11" fillId="2"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6" fillId="3" borderId="6" xfId="0" applyFont="1" applyFill="1" applyBorder="1" applyAlignment="1">
      <alignment horizontal="center" vertical="center" wrapText="1"/>
    </xf>
    <xf numFmtId="0" fontId="7" fillId="0" borderId="0" xfId="0" applyFont="1" applyAlignment="1">
      <alignment horizontal="center" vertical="center" wrapText="1"/>
    </xf>
    <xf numFmtId="164" fontId="13" fillId="0" borderId="0" xfId="0" applyNumberFormat="1" applyFont="1" applyAlignment="1">
      <alignment horizontal="center" vertical="center" wrapText="1"/>
    </xf>
    <xf numFmtId="164" fontId="7" fillId="0" borderId="7" xfId="0" applyNumberFormat="1" applyFont="1" applyBorder="1" applyAlignment="1">
      <alignment horizontal="center" vertical="center" wrapText="1"/>
    </xf>
    <xf numFmtId="0" fontId="0" fillId="0" borderId="0" xfId="0" applyAlignment="1">
      <alignment horizontal="center" vertical="center"/>
    </xf>
    <xf numFmtId="164" fontId="7" fillId="0" borderId="0" xfId="0" applyNumberFormat="1" applyFont="1" applyAlignment="1">
      <alignment horizontal="center" vertical="center" wrapText="1"/>
    </xf>
    <xf numFmtId="0" fontId="11" fillId="4"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0" fontId="11"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4" fillId="0" borderId="0" xfId="0" applyFont="1" applyAlignment="1">
      <alignment horizontal="center" vertical="center" wrapText="1"/>
    </xf>
    <xf numFmtId="165" fontId="15" fillId="0" borderId="7" xfId="0" applyNumberFormat="1" applyFont="1" applyBorder="1" applyAlignment="1">
      <alignment horizontal="center" vertical="center" wrapText="1"/>
    </xf>
    <xf numFmtId="0" fontId="13" fillId="0" borderId="0" xfId="0" applyFont="1" applyAlignment="1">
      <alignment horizontal="center" vertical="center" wrapText="1"/>
    </xf>
    <xf numFmtId="0" fontId="7" fillId="0" borderId="12" xfId="0" applyFont="1" applyBorder="1" applyAlignment="1">
      <alignment horizontal="center" vertical="center" wrapText="1"/>
    </xf>
    <xf numFmtId="164" fontId="16"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164" fontId="15" fillId="0" borderId="13" xfId="1" applyNumberFormat="1" applyFont="1" applyBorder="1" applyAlignment="1">
      <alignment horizontal="center" vertical="center" wrapText="1"/>
    </xf>
    <xf numFmtId="0" fontId="15" fillId="0" borderId="0" xfId="0" applyFont="1" applyAlignment="1">
      <alignment wrapText="1"/>
    </xf>
    <xf numFmtId="0" fontId="6" fillId="4" borderId="6" xfId="0" applyFont="1" applyFill="1" applyBorder="1" applyAlignment="1">
      <alignment horizontal="center" vertical="center" wrapText="1"/>
    </xf>
    <xf numFmtId="0" fontId="18" fillId="0" borderId="0" xfId="0" applyFont="1" applyAlignment="1">
      <alignment horizontal="center" vertical="center" wrapText="1"/>
    </xf>
    <xf numFmtId="9" fontId="7" fillId="0" borderId="0" xfId="0" applyNumberFormat="1" applyFont="1" applyAlignment="1">
      <alignment horizontal="center" vertical="center" wrapText="1"/>
    </xf>
    <xf numFmtId="10" fontId="7" fillId="0" borderId="0" xfId="0" applyNumberFormat="1" applyFont="1" applyAlignment="1">
      <alignment horizontal="center" vertical="center" wrapText="1"/>
    </xf>
    <xf numFmtId="0" fontId="15" fillId="0" borderId="0" xfId="0" applyFont="1" applyAlignment="1">
      <alignment horizontal="center" vertical="center" wrapText="1"/>
    </xf>
    <xf numFmtId="166" fontId="15" fillId="5" borderId="0" xfId="0" applyNumberFormat="1" applyFont="1" applyFill="1" applyAlignment="1">
      <alignment wrapText="1"/>
    </xf>
    <xf numFmtId="0" fontId="0" fillId="0" borderId="7" xfId="0" applyBorder="1"/>
    <xf numFmtId="0" fontId="8" fillId="0" borderId="1" xfId="0" applyFont="1" applyBorder="1" applyAlignment="1">
      <alignment horizontal="center" vertical="center" wrapText="1"/>
    </xf>
    <xf numFmtId="164" fontId="16" fillId="0" borderId="5" xfId="0" applyNumberFormat="1" applyFont="1" applyBorder="1" applyAlignment="1">
      <alignment horizontal="center" vertical="center" wrapText="1"/>
    </xf>
    <xf numFmtId="164"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164" fontId="7" fillId="0" borderId="14"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7" fillId="4" borderId="6" xfId="0" applyFont="1" applyFill="1" applyBorder="1" applyAlignment="1">
      <alignment horizontal="center" vertical="center" wrapText="1"/>
    </xf>
    <xf numFmtId="167" fontId="0" fillId="0" borderId="0" xfId="0" applyNumberFormat="1"/>
    <xf numFmtId="164" fontId="6" fillId="0" borderId="0" xfId="0" applyNumberFormat="1" applyFont="1" applyAlignment="1">
      <alignment horizontal="center" vertical="center" wrapText="1"/>
    </xf>
    <xf numFmtId="164" fontId="15"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2"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2" fillId="3" borderId="6" xfId="0" applyFont="1" applyFill="1" applyBorder="1" applyAlignment="1">
      <alignment horizontal="center" vertical="center" wrapText="1"/>
    </xf>
    <xf numFmtId="0" fontId="22" fillId="0" borderId="0" xfId="0" applyFont="1" applyAlignment="1">
      <alignment horizontal="center" vertical="center" wrapText="1"/>
    </xf>
    <xf numFmtId="164" fontId="10" fillId="0" borderId="0" xfId="0" applyNumberFormat="1" applyFont="1" applyAlignment="1">
      <alignment horizontal="center" vertical="center" wrapText="1"/>
    </xf>
    <xf numFmtId="164" fontId="10" fillId="0" borderId="7" xfId="0" applyNumberFormat="1" applyFont="1" applyBorder="1" applyAlignment="1">
      <alignment horizontal="center" vertical="center" wrapText="1"/>
    </xf>
    <xf numFmtId="1" fontId="7" fillId="0" borderId="0" xfId="0" applyNumberFormat="1" applyFont="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0" fillId="0" borderId="0" xfId="0" applyFont="1"/>
    <xf numFmtId="0" fontId="0" fillId="0" borderId="0" xfId="0" applyAlignment="1">
      <alignment horizontal="center" vertical="center" wrapText="1"/>
    </xf>
    <xf numFmtId="0" fontId="10" fillId="0" borderId="12"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9" fillId="0" borderId="0" xfId="0" applyFont="1" applyAlignment="1">
      <alignment horizontal="center" wrapText="1"/>
    </xf>
    <xf numFmtId="0" fontId="23" fillId="0" borderId="0" xfId="0" applyFont="1" applyAlignment="1">
      <alignment wrapText="1"/>
    </xf>
    <xf numFmtId="0" fontId="24" fillId="0" borderId="0" xfId="0" applyFont="1" applyAlignment="1">
      <alignment horizontal="center" wrapText="1"/>
    </xf>
    <xf numFmtId="9" fontId="10" fillId="0" borderId="0" xfId="0" applyNumberFormat="1" applyFont="1" applyAlignment="1">
      <alignment horizontal="center" vertical="center" wrapText="1"/>
    </xf>
    <xf numFmtId="9" fontId="10" fillId="0" borderId="7" xfId="0" applyNumberFormat="1" applyFont="1" applyBorder="1" applyAlignment="1">
      <alignment horizontal="center" vertical="center" wrapText="1"/>
    </xf>
    <xf numFmtId="9" fontId="7" fillId="0" borderId="7" xfId="0" applyNumberFormat="1" applyFont="1" applyBorder="1" applyAlignment="1">
      <alignment horizontal="center" vertical="center" wrapText="1"/>
    </xf>
    <xf numFmtId="10" fontId="10" fillId="0" borderId="0" xfId="0" applyNumberFormat="1" applyFont="1" applyAlignment="1">
      <alignment horizontal="center" vertical="center" wrapText="1"/>
    </xf>
    <xf numFmtId="9" fontId="10" fillId="0" borderId="1" xfId="0" applyNumberFormat="1" applyFont="1" applyBorder="1" applyAlignment="1">
      <alignment horizontal="center" vertical="center" wrapText="1"/>
    </xf>
    <xf numFmtId="10" fontId="10" fillId="0" borderId="1" xfId="0" applyNumberFormat="1" applyFont="1" applyBorder="1" applyAlignment="1">
      <alignment horizontal="center" vertical="center" wrapText="1"/>
    </xf>
    <xf numFmtId="9" fontId="16" fillId="0" borderId="5" xfId="0" applyNumberFormat="1" applyFont="1" applyBorder="1" applyAlignment="1">
      <alignment horizontal="center" vertical="center" wrapText="1"/>
    </xf>
    <xf numFmtId="10" fontId="7" fillId="0" borderId="14"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10" fontId="7"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0" fillId="0" borderId="0" xfId="0" applyAlignment="1">
      <alignment horizontal="center" vertical="center"/>
    </xf>
    <xf numFmtId="0" fontId="25" fillId="0" borderId="0" xfId="0" applyFont="1"/>
    <xf numFmtId="0" fontId="25" fillId="0" borderId="0" xfId="0" applyFont="1" applyAlignment="1">
      <alignment wrapText="1"/>
    </xf>
    <xf numFmtId="2" fontId="0" fillId="0" borderId="0" xfId="0" applyNumberFormat="1"/>
    <xf numFmtId="0" fontId="26" fillId="0" borderId="0" xfId="0" applyFont="1" applyAlignment="1">
      <alignment wrapText="1"/>
    </xf>
    <xf numFmtId="0" fontId="0" fillId="0" borderId="0" xfId="0" applyFill="1" applyAlignment="1">
      <alignment horizontal="center" vertical="center"/>
    </xf>
    <xf numFmtId="0" fontId="3" fillId="0" borderId="0" xfId="0" applyFont="1" applyFill="1" applyAlignment="1">
      <alignment horizontal="center" vertical="center" wrapText="1"/>
    </xf>
    <xf numFmtId="166" fontId="4" fillId="7" borderId="0" xfId="0" applyNumberFormat="1" applyFont="1" applyFill="1" applyAlignment="1">
      <alignment horizontal="center" vertical="center"/>
    </xf>
    <xf numFmtId="166" fontId="4" fillId="3" borderId="0" xfId="0" applyNumberFormat="1" applyFont="1" applyFill="1" applyAlignment="1">
      <alignment horizontal="center" vertical="center"/>
    </xf>
    <xf numFmtId="165" fontId="3" fillId="8" borderId="0" xfId="0" applyNumberFormat="1" applyFont="1" applyFill="1" applyAlignment="1">
      <alignment horizontal="center" vertical="center" wrapText="1"/>
    </xf>
    <xf numFmtId="9" fontId="16" fillId="0" borderId="1"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10" fontId="17" fillId="0" borderId="1" xfId="0" applyNumberFormat="1" applyFont="1" applyBorder="1" applyAlignment="1">
      <alignment horizontal="center" vertical="center" wrapText="1"/>
    </xf>
    <xf numFmtId="10" fontId="7" fillId="0" borderId="7" xfId="0" applyNumberFormat="1" applyFont="1" applyBorder="1" applyAlignment="1">
      <alignment horizontal="center" vertical="center" wrapText="1"/>
    </xf>
    <xf numFmtId="10" fontId="13"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Fill="1"/>
    <xf numFmtId="0" fontId="0" fillId="0" borderId="0" xfId="0" applyFill="1" applyAlignment="1">
      <alignment horizontal="center"/>
    </xf>
    <xf numFmtId="166" fontId="15" fillId="0" borderId="0" xfId="0" applyNumberFormat="1" applyFont="1" applyFill="1" applyAlignment="1">
      <alignment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15" fillId="0" borderId="0" xfId="0" applyFont="1" applyFill="1" applyAlignment="1">
      <alignment wrapText="1"/>
    </xf>
    <xf numFmtId="0" fontId="4" fillId="0" borderId="0" xfId="0" applyFont="1" applyFill="1" applyAlignment="1">
      <alignment horizontal="center"/>
    </xf>
    <xf numFmtId="0" fontId="20" fillId="0" borderId="0" xfId="0" applyFont="1" applyFill="1" applyAlignment="1">
      <alignment horizontal="center"/>
    </xf>
    <xf numFmtId="1" fontId="7" fillId="0" borderId="0" xfId="0" applyNumberFormat="1" applyFont="1" applyFill="1" applyAlignment="1">
      <alignment horizontal="center" vertical="center" wrapText="1"/>
    </xf>
    <xf numFmtId="0" fontId="23" fillId="0" borderId="0" xfId="0" applyFont="1" applyFill="1" applyAlignment="1">
      <alignment wrapText="1"/>
    </xf>
    <xf numFmtId="0" fontId="20" fillId="0" borderId="0" xfId="0" applyFont="1" applyFill="1"/>
    <xf numFmtId="0" fontId="7" fillId="6"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2" fillId="0" borderId="18" xfId="0" applyFont="1" applyBorder="1" applyAlignment="1">
      <alignment horizontal="center" vertical="center"/>
    </xf>
    <xf numFmtId="0" fontId="6" fillId="0" borderId="19" xfId="0" applyFont="1" applyBorder="1" applyAlignment="1">
      <alignment horizontal="center" vertical="center" wrapText="1"/>
    </xf>
    <xf numFmtId="166" fontId="4" fillId="0" borderId="0" xfId="0" applyNumberFormat="1" applyFont="1" applyFill="1" applyAlignment="1">
      <alignment horizontal="center" vertical="center"/>
    </xf>
    <xf numFmtId="165" fontId="3" fillId="0" borderId="0" xfId="0" applyNumberFormat="1" applyFont="1" applyFill="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166" fontId="4"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wrapText="1"/>
    </xf>
    <xf numFmtId="2" fontId="4" fillId="0" borderId="0" xfId="0" applyNumberFormat="1" applyFont="1" applyFill="1" applyAlignment="1">
      <alignment horizontal="center" vertical="center"/>
    </xf>
    <xf numFmtId="0" fontId="22" fillId="0" borderId="20" xfId="0" applyFont="1" applyBorder="1" applyAlignment="1">
      <alignment horizontal="center" vertical="center"/>
    </xf>
    <xf numFmtId="0" fontId="6" fillId="0" borderId="21" xfId="0" applyFont="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xf numFmtId="0" fontId="30" fillId="0" borderId="0" xfId="0" applyFont="1" applyFill="1" applyBorder="1" applyAlignment="1">
      <alignment horizontal="center" vertical="center"/>
    </xf>
    <xf numFmtId="166" fontId="31" fillId="0" borderId="0" xfId="0" applyNumberFormat="1" applyFont="1" applyFill="1" applyBorder="1" applyAlignment="1">
      <alignment horizontal="center" vertical="center"/>
    </xf>
    <xf numFmtId="165" fontId="3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25" fillId="0" borderId="0" xfId="0" applyFont="1" applyFill="1" applyAlignment="1">
      <alignment wrapText="1"/>
    </xf>
    <xf numFmtId="165" fontId="1" fillId="0" borderId="0" xfId="2" applyNumberFormat="1" applyFont="1" applyFill="1"/>
    <xf numFmtId="165" fontId="1" fillId="0" borderId="0" xfId="0" applyNumberFormat="1" applyFont="1" applyFill="1"/>
    <xf numFmtId="0" fontId="1" fillId="0" borderId="0" xfId="0" applyFont="1" applyFill="1"/>
    <xf numFmtId="165" fontId="1" fillId="0" borderId="0" xfId="3" applyNumberFormat="1" applyFont="1" applyFill="1"/>
    <xf numFmtId="0" fontId="33" fillId="0" borderId="0" xfId="0" applyFont="1" applyAlignment="1">
      <alignment vertical="top" wrapText="1"/>
    </xf>
    <xf numFmtId="0" fontId="34" fillId="0" borderId="22" xfId="0" applyFont="1" applyBorder="1" applyAlignment="1">
      <alignment horizontal="left" vertical="top"/>
    </xf>
    <xf numFmtId="0" fontId="34" fillId="0" borderId="22" xfId="0" applyFont="1" applyBorder="1" applyAlignment="1">
      <alignment horizontal="left" vertical="top" wrapText="1"/>
    </xf>
    <xf numFmtId="0" fontId="34" fillId="0" borderId="0" xfId="0" applyFont="1" applyAlignment="1">
      <alignment horizontal="center" vertical="center"/>
    </xf>
    <xf numFmtId="0" fontId="37" fillId="0" borderId="0" xfId="0" applyFont="1" applyAlignment="1">
      <alignment wrapText="1"/>
    </xf>
    <xf numFmtId="0" fontId="37" fillId="0" borderId="0" xfId="0" applyFont="1"/>
    <xf numFmtId="0" fontId="33" fillId="0" borderId="0" xfId="0" applyFont="1" applyAlignment="1">
      <alignment horizontal="left" vertical="top"/>
    </xf>
    <xf numFmtId="168" fontId="33" fillId="0" borderId="0" xfId="0" applyNumberFormat="1" applyFont="1" applyAlignment="1">
      <alignment horizontal="left" vertical="top"/>
    </xf>
    <xf numFmtId="168" fontId="33" fillId="0" borderId="0" xfId="0" applyNumberFormat="1" applyFont="1" applyAlignment="1">
      <alignment horizontal="left" vertical="top" wrapText="1"/>
    </xf>
    <xf numFmtId="168" fontId="33" fillId="0" borderId="0" xfId="0" applyNumberFormat="1" applyFont="1" applyAlignment="1">
      <alignment horizontal="center" vertical="center"/>
    </xf>
    <xf numFmtId="0" fontId="38" fillId="0" borderId="0" xfId="0" applyFont="1"/>
    <xf numFmtId="168" fontId="38" fillId="0" borderId="0" xfId="0" applyNumberFormat="1" applyFont="1"/>
    <xf numFmtId="2" fontId="38" fillId="0" borderId="0" xfId="0" applyNumberFormat="1" applyFont="1"/>
    <xf numFmtId="167" fontId="38" fillId="0" borderId="0" xfId="0" applyNumberFormat="1" applyFont="1"/>
    <xf numFmtId="49" fontId="33" fillId="0" borderId="0" xfId="0" applyNumberFormat="1" applyFont="1" applyAlignment="1">
      <alignment horizontal="left" vertical="top" wrapText="1"/>
    </xf>
    <xf numFmtId="0" fontId="33" fillId="0" borderId="15" xfId="0" applyFont="1" applyBorder="1" applyAlignment="1">
      <alignment horizontal="left" vertical="top"/>
    </xf>
    <xf numFmtId="168" fontId="33" fillId="0" borderId="15" xfId="0" applyNumberFormat="1" applyFont="1" applyBorder="1" applyAlignment="1">
      <alignment horizontal="left" vertical="top"/>
    </xf>
    <xf numFmtId="168" fontId="33" fillId="0" borderId="15" xfId="0" applyNumberFormat="1" applyFont="1" applyFill="1" applyBorder="1" applyAlignment="1">
      <alignment horizontal="left" vertical="top" wrapText="1"/>
    </xf>
    <xf numFmtId="0" fontId="33" fillId="0" borderId="15" xfId="0" applyFont="1" applyFill="1" applyBorder="1" applyAlignment="1">
      <alignment horizontal="left" vertical="top"/>
    </xf>
    <xf numFmtId="0" fontId="40" fillId="0" borderId="0" xfId="0" applyFont="1"/>
    <xf numFmtId="0" fontId="39" fillId="2" borderId="0" xfId="0" applyFont="1" applyFill="1" applyAlignment="1">
      <alignment horizontal="center" vertical="center" wrapText="1"/>
    </xf>
    <xf numFmtId="0" fontId="39" fillId="3" borderId="0" xfId="0" applyFont="1" applyFill="1" applyAlignment="1">
      <alignment horizontal="center" vertical="center" wrapText="1"/>
    </xf>
    <xf numFmtId="0" fontId="25" fillId="2" borderId="0" xfId="0" applyFont="1" applyFill="1" applyAlignment="1">
      <alignment horizontal="center" vertical="center" wrapText="1"/>
    </xf>
    <xf numFmtId="0" fontId="25" fillId="3" borderId="0" xfId="0" applyFont="1" applyFill="1" applyAlignment="1">
      <alignment horizontal="center" vertical="center" wrapText="1"/>
    </xf>
    <xf numFmtId="0" fontId="40" fillId="0" borderId="0" xfId="0" applyFont="1" applyAlignment="1">
      <alignment horizontal="left" vertical="center"/>
    </xf>
    <xf numFmtId="0" fontId="40" fillId="0" borderId="0" xfId="0" applyFont="1" applyAlignment="1">
      <alignment horizontal="center" vertical="center"/>
    </xf>
    <xf numFmtId="2" fontId="40" fillId="0" borderId="0" xfId="0" applyNumberFormat="1" applyFont="1"/>
    <xf numFmtId="168" fontId="40" fillId="0" borderId="0" xfId="0" applyNumberFormat="1" applyFont="1"/>
    <xf numFmtId="0" fontId="40" fillId="0" borderId="15" xfId="0" applyFont="1" applyBorder="1" applyAlignment="1">
      <alignment horizontal="left" vertical="center"/>
    </xf>
    <xf numFmtId="0" fontId="39" fillId="0" borderId="22" xfId="0" applyFont="1" applyBorder="1" applyAlignment="1">
      <alignment horizontal="left" vertical="top"/>
    </xf>
    <xf numFmtId="0" fontId="39" fillId="0" borderId="0" xfId="0" applyFont="1"/>
    <xf numFmtId="0" fontId="39" fillId="0" borderId="0" xfId="0" applyFont="1" applyAlignment="1">
      <alignment horizontal="center" vertical="center"/>
    </xf>
    <xf numFmtId="0" fontId="40" fillId="0" borderId="0" xfId="0" applyFont="1" applyAlignment="1">
      <alignment horizontal="left" vertical="top"/>
    </xf>
    <xf numFmtId="0" fontId="0" fillId="0" borderId="0" xfId="0" applyAlignment="1">
      <alignment horizontal="center" vertical="center"/>
    </xf>
    <xf numFmtId="0" fontId="0" fillId="0" borderId="1" xfId="0" applyBorder="1" applyAlignment="1">
      <alignment horizontal="center" vertical="center"/>
    </xf>
    <xf numFmtId="0" fontId="20" fillId="0" borderId="0" xfId="0" applyFont="1" applyAlignment="1">
      <alignment horizontal="center"/>
    </xf>
    <xf numFmtId="0" fontId="0" fillId="0" borderId="0" xfId="0" applyAlignment="1">
      <alignment horizontal="center" vertical="center"/>
    </xf>
    <xf numFmtId="0" fontId="4" fillId="0" borderId="0" xfId="0" applyFont="1" applyAlignment="1">
      <alignment horizontal="center"/>
    </xf>
    <xf numFmtId="0" fontId="0" fillId="0" borderId="1" xfId="0" applyBorder="1" applyAlignment="1">
      <alignment horizontal="center"/>
    </xf>
    <xf numFmtId="0" fontId="0" fillId="0" borderId="0" xfId="0" applyBorder="1" applyAlignment="1">
      <alignment horizontal="center" vertical="center"/>
    </xf>
    <xf numFmtId="0" fontId="0" fillId="9" borderId="0" xfId="0" applyFill="1" applyAlignment="1">
      <alignment horizontal="center"/>
    </xf>
    <xf numFmtId="0" fontId="33" fillId="0" borderId="0" xfId="0" applyFont="1" applyAlignment="1">
      <alignment horizontal="left" vertical="top"/>
    </xf>
    <xf numFmtId="0" fontId="33" fillId="0" borderId="15" xfId="0" applyFont="1" applyBorder="1" applyAlignment="1">
      <alignment horizontal="left" vertical="top"/>
    </xf>
    <xf numFmtId="0" fontId="33" fillId="0" borderId="0" xfId="0" applyFont="1" applyAlignment="1">
      <alignment horizontal="left" vertical="top" wrapText="1"/>
    </xf>
    <xf numFmtId="0" fontId="33" fillId="0" borderId="15" xfId="0" applyFont="1" applyBorder="1" applyAlignment="1">
      <alignment horizontal="left" vertical="top" wrapText="1"/>
    </xf>
    <xf numFmtId="0" fontId="35" fillId="9" borderId="0" xfId="0" applyFont="1" applyFill="1" applyAlignment="1">
      <alignment horizontal="center" vertical="center" wrapText="1"/>
    </xf>
    <xf numFmtId="0" fontId="36" fillId="12" borderId="0" xfId="0" applyFont="1" applyFill="1" applyAlignment="1">
      <alignment horizontal="center" vertical="center" wrapText="1"/>
    </xf>
    <xf numFmtId="0" fontId="40" fillId="0" borderId="0" xfId="0" applyFont="1" applyAlignment="1">
      <alignment horizontal="left" vertical="top"/>
    </xf>
    <xf numFmtId="0" fontId="40" fillId="0" borderId="0" xfId="0" applyFont="1" applyAlignment="1">
      <alignment horizontal="left" vertical="top" wrapText="1"/>
    </xf>
    <xf numFmtId="0" fontId="40" fillId="0" borderId="15" xfId="0" applyFont="1" applyBorder="1" applyAlignment="1">
      <alignment horizontal="left" vertical="top"/>
    </xf>
    <xf numFmtId="0" fontId="40" fillId="0" borderId="15" xfId="0" applyFont="1" applyBorder="1" applyAlignment="1">
      <alignment horizontal="left" vertical="top" wrapText="1"/>
    </xf>
    <xf numFmtId="0" fontId="39" fillId="0" borderId="0" xfId="0" applyFont="1" applyAlignment="1">
      <alignment horizontal="left" vertical="top" wrapText="1"/>
    </xf>
    <xf numFmtId="0" fontId="36" fillId="9" borderId="0" xfId="0" applyFont="1" applyFill="1" applyAlignment="1">
      <alignment horizontal="center" vertical="center" wrapText="1"/>
    </xf>
    <xf numFmtId="0" fontId="36" fillId="12" borderId="0" xfId="0" applyFont="1" applyFill="1" applyAlignment="1">
      <alignment horizontal="center" vertical="center"/>
    </xf>
    <xf numFmtId="0" fontId="40" fillId="0" borderId="16" xfId="0" applyFont="1" applyBorder="1" applyAlignment="1">
      <alignment horizontal="left" vertical="top"/>
    </xf>
    <xf numFmtId="0" fontId="40" fillId="0" borderId="16" xfId="0" applyFont="1" applyBorder="1" applyAlignment="1">
      <alignment horizontal="left" vertical="top" wrapText="1"/>
    </xf>
    <xf numFmtId="0" fontId="39" fillId="0" borderId="16" xfId="0" applyFont="1" applyBorder="1" applyAlignment="1">
      <alignment horizontal="left" vertical="top" wrapText="1"/>
    </xf>
    <xf numFmtId="0" fontId="41" fillId="0" borderId="22" xfId="0" applyFont="1" applyBorder="1" applyAlignment="1">
      <alignment horizontal="left" vertical="top" wrapText="1"/>
    </xf>
    <xf numFmtId="0" fontId="41" fillId="0" borderId="16" xfId="0" applyFont="1" applyBorder="1" applyAlignment="1">
      <alignment horizontal="left" vertical="top" wrapText="1"/>
    </xf>
    <xf numFmtId="0" fontId="39" fillId="0" borderId="15" xfId="0" applyFont="1" applyBorder="1" applyAlignment="1">
      <alignment horizontal="left" vertical="top" wrapText="1"/>
    </xf>
    <xf numFmtId="168" fontId="40" fillId="0" borderId="0" xfId="0" applyNumberFormat="1" applyFont="1" applyAlignment="1">
      <alignment horizontal="left" vertical="center"/>
    </xf>
    <xf numFmtId="2" fontId="40" fillId="0" borderId="0" xfId="0" applyNumberFormat="1" applyFont="1" applyAlignment="1">
      <alignment horizontal="left" vertical="center"/>
    </xf>
    <xf numFmtId="168" fontId="40" fillId="0" borderId="15" xfId="0" applyNumberFormat="1" applyFont="1" applyBorder="1" applyAlignment="1">
      <alignment horizontal="left" vertical="center"/>
    </xf>
    <xf numFmtId="2" fontId="40" fillId="0" borderId="15" xfId="0" applyNumberFormat="1" applyFont="1" applyBorder="1" applyAlignment="1">
      <alignment horizontal="left" vertical="center"/>
    </xf>
  </cellXfs>
  <cellStyles count="4">
    <cellStyle name="Bad" xfId="3" builtinId="27"/>
    <cellStyle name="Good" xfId="2" builtinId="2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3000">
                <a:latin typeface="Times New Roman"/>
                <a:cs typeface="Times New Roman"/>
              </a:defRPr>
            </a:pPr>
            <a:r>
              <a:rPr lang="en-US" sz="3000">
                <a:latin typeface="Times New Roman"/>
                <a:cs typeface="Times New Roman"/>
              </a:rPr>
              <a:t>(a)</a:t>
            </a:r>
            <a:r>
              <a:rPr lang="en-US" sz="3000" baseline="0">
                <a:latin typeface="Times New Roman"/>
                <a:cs typeface="Times New Roman"/>
              </a:rPr>
              <a:t> Brown's Bench</a:t>
            </a:r>
            <a:endParaRPr lang="en-US" sz="3000">
              <a:latin typeface="Times New Roman"/>
              <a:cs typeface="Times New Roman"/>
            </a:endParaRPr>
          </a:p>
        </c:rich>
      </c:tx>
      <c:overlay val="0"/>
    </c:title>
    <c:autoTitleDeleted val="0"/>
    <c:plotArea>
      <c:layout>
        <c:manualLayout>
          <c:layoutTarget val="inner"/>
          <c:xMode val="edge"/>
          <c:yMode val="edge"/>
          <c:x val="0.154443060688842"/>
          <c:y val="0.13452027695351099"/>
          <c:w val="0.76534442123306001"/>
          <c:h val="0.67818001978239395"/>
        </c:manualLayout>
      </c:layout>
      <c:scatterChart>
        <c:scatterStyle val="lineMarker"/>
        <c:varyColors val="0"/>
        <c:ser>
          <c:idx val="2"/>
          <c:order val="0"/>
          <c:tx>
            <c:v>GAP</c:v>
          </c:tx>
          <c:spPr>
            <a:ln w="47625">
              <a:noFill/>
            </a:ln>
            <a:effectLst/>
          </c:spPr>
          <c:marker>
            <c:symbol val="triangle"/>
            <c:size val="7"/>
            <c:spPr>
              <a:solidFill>
                <a:schemeClr val="bg1">
                  <a:lumMod val="65000"/>
                </a:schemeClr>
              </a:solidFill>
              <a:ln>
                <a:noFill/>
              </a:ln>
              <a:effectLst/>
            </c:spPr>
          </c:marker>
          <c:trendline>
            <c:spPr>
              <a:ln cap="rnd">
                <a:solidFill>
                  <a:schemeClr val="tx1"/>
                </a:solidFill>
                <a:prstDash val="solid"/>
                <a:round/>
              </a:ln>
            </c:spPr>
            <c:trendlineType val="linear"/>
            <c:dispRSqr val="0"/>
            <c:dispEq val="0"/>
          </c:trendline>
          <c:xVal>
            <c:numRef>
              <c:f>graphs_fig5!$C$2:$C$5</c:f>
              <c:numCache>
                <c:formatCode>General</c:formatCode>
                <c:ptCount val="4"/>
                <c:pt idx="0">
                  <c:v>0</c:v>
                </c:pt>
                <c:pt idx="1">
                  <c:v>100</c:v>
                </c:pt>
                <c:pt idx="2">
                  <c:v>1000</c:v>
                </c:pt>
                <c:pt idx="3">
                  <c:v>5000</c:v>
                </c:pt>
              </c:numCache>
            </c:numRef>
          </c:xVal>
          <c:yVal>
            <c:numRef>
              <c:f>graphs_fig5!$E$2:$E$5</c:f>
              <c:numCache>
                <c:formatCode>0.00</c:formatCode>
                <c:ptCount val="4"/>
                <c:pt idx="0">
                  <c:v>23.636363636363637</c:v>
                </c:pt>
                <c:pt idx="1">
                  <c:v>23.636363636363637</c:v>
                </c:pt>
                <c:pt idx="2">
                  <c:v>20</c:v>
                </c:pt>
                <c:pt idx="3">
                  <c:v>5.4545454545454541</c:v>
                </c:pt>
              </c:numCache>
            </c:numRef>
          </c:yVal>
          <c:smooth val="0"/>
          <c:extLst>
            <c:ext xmlns:c16="http://schemas.microsoft.com/office/drawing/2014/chart" uri="{C3380CC4-5D6E-409C-BE32-E72D297353CC}">
              <c16:uniqueId val="{00000001-B831-E342-BCFC-32E3C1E836E9}"/>
            </c:ext>
          </c:extLst>
        </c:ser>
        <c:ser>
          <c:idx val="1"/>
          <c:order val="1"/>
          <c:tx>
            <c:v>LANDFIRE, community</c:v>
          </c:tx>
          <c:spPr>
            <a:ln w="47625">
              <a:noFill/>
            </a:ln>
            <a:effectLst/>
          </c:spPr>
          <c:marker>
            <c:symbol val="square"/>
            <c:size val="7"/>
            <c:spPr>
              <a:solidFill>
                <a:schemeClr val="tx1"/>
              </a:solidFill>
              <a:ln>
                <a:noFill/>
              </a:ln>
              <a:effectLst/>
            </c:spPr>
          </c:marker>
          <c:trendline>
            <c:spPr>
              <a:ln>
                <a:solidFill>
                  <a:schemeClr val="bg1">
                    <a:lumMod val="65000"/>
                  </a:schemeClr>
                </a:solidFill>
                <a:prstDash val="sysDash"/>
              </a:ln>
            </c:spPr>
            <c:trendlineType val="linear"/>
            <c:dispRSqr val="0"/>
            <c:dispEq val="0"/>
          </c:trendline>
          <c:xVal>
            <c:numRef>
              <c:f>graphs_fig5!$C$6:$C$9</c:f>
              <c:numCache>
                <c:formatCode>General</c:formatCode>
                <c:ptCount val="4"/>
                <c:pt idx="0">
                  <c:v>0</c:v>
                </c:pt>
                <c:pt idx="1">
                  <c:v>100</c:v>
                </c:pt>
                <c:pt idx="2">
                  <c:v>1000</c:v>
                </c:pt>
                <c:pt idx="3">
                  <c:v>5000</c:v>
                </c:pt>
              </c:numCache>
            </c:numRef>
          </c:xVal>
          <c:yVal>
            <c:numRef>
              <c:f>graphs_fig5!$E$6:$E$9</c:f>
              <c:numCache>
                <c:formatCode>0.00</c:formatCode>
                <c:ptCount val="4"/>
                <c:pt idx="0">
                  <c:v>6.3636363636363633</c:v>
                </c:pt>
                <c:pt idx="1">
                  <c:v>6.3636363636363633</c:v>
                </c:pt>
                <c:pt idx="2">
                  <c:v>5.4545454545454541</c:v>
                </c:pt>
                <c:pt idx="3">
                  <c:v>6.3636363636363633</c:v>
                </c:pt>
              </c:numCache>
            </c:numRef>
          </c:yVal>
          <c:smooth val="0"/>
          <c:extLst>
            <c:ext xmlns:c16="http://schemas.microsoft.com/office/drawing/2014/chart" uri="{C3380CC4-5D6E-409C-BE32-E72D297353CC}">
              <c16:uniqueId val="{00000003-B831-E342-BCFC-32E3C1E836E9}"/>
            </c:ext>
          </c:extLst>
        </c:ser>
        <c:ser>
          <c:idx val="0"/>
          <c:order val="2"/>
          <c:tx>
            <c:v>LANDFIRE, species</c:v>
          </c:tx>
          <c:spPr>
            <a:ln w="47625">
              <a:noFill/>
            </a:ln>
            <a:effectLst/>
          </c:spPr>
          <c:marker>
            <c:symbol val="circle"/>
            <c:size val="7"/>
            <c:spPr>
              <a:noFill/>
              <a:ln>
                <a:solidFill>
                  <a:schemeClr val="tx1"/>
                </a:solidFill>
              </a:ln>
              <a:effectLst/>
            </c:spPr>
          </c:marker>
          <c:trendline>
            <c:spPr>
              <a:ln>
                <a:prstDash val="lgDash"/>
              </a:ln>
            </c:spPr>
            <c:trendlineType val="linear"/>
            <c:dispRSqr val="0"/>
            <c:dispEq val="0"/>
          </c:trendline>
          <c:xVal>
            <c:numRef>
              <c:f>graphs_fig5!$C$10:$C$13</c:f>
              <c:numCache>
                <c:formatCode>General</c:formatCode>
                <c:ptCount val="4"/>
                <c:pt idx="0">
                  <c:v>0</c:v>
                </c:pt>
                <c:pt idx="1">
                  <c:v>100</c:v>
                </c:pt>
                <c:pt idx="2">
                  <c:v>1000</c:v>
                </c:pt>
                <c:pt idx="3">
                  <c:v>5000</c:v>
                </c:pt>
              </c:numCache>
            </c:numRef>
          </c:xVal>
          <c:yVal>
            <c:numRef>
              <c:f>graphs_fig5!$E$10:$E$13</c:f>
              <c:numCache>
                <c:formatCode>0.00</c:formatCode>
                <c:ptCount val="4"/>
                <c:pt idx="0">
                  <c:v>4.5454545454545459</c:v>
                </c:pt>
                <c:pt idx="1">
                  <c:v>6.3636363636363633</c:v>
                </c:pt>
                <c:pt idx="2">
                  <c:v>5.4545454545454541</c:v>
                </c:pt>
                <c:pt idx="3">
                  <c:v>6.3636363636363633</c:v>
                </c:pt>
              </c:numCache>
            </c:numRef>
          </c:yVal>
          <c:smooth val="0"/>
          <c:extLst>
            <c:ext xmlns:c16="http://schemas.microsoft.com/office/drawing/2014/chart" uri="{C3380CC4-5D6E-409C-BE32-E72D297353CC}">
              <c16:uniqueId val="{00000005-B831-E342-BCFC-32E3C1E836E9}"/>
            </c:ext>
          </c:extLst>
        </c:ser>
        <c:dLbls>
          <c:showLegendKey val="0"/>
          <c:showVal val="0"/>
          <c:showCatName val="0"/>
          <c:showSerName val="0"/>
          <c:showPercent val="0"/>
          <c:showBubbleSize val="0"/>
        </c:dLbls>
        <c:axId val="1939615912"/>
        <c:axId val="1802684216"/>
      </c:scatterChart>
      <c:valAx>
        <c:axId val="1939615912"/>
        <c:scaling>
          <c:orientation val="minMax"/>
          <c:max val="5000"/>
        </c:scaling>
        <c:delete val="0"/>
        <c:axPos val="b"/>
        <c:title>
          <c:tx>
            <c:rich>
              <a:bodyPr/>
              <a:lstStyle/>
              <a:p>
                <a:pPr>
                  <a:defRPr sz="2400">
                    <a:latin typeface="Times New Roman"/>
                    <a:cs typeface="Times New Roman"/>
                  </a:defRPr>
                </a:pPr>
                <a:r>
                  <a:rPr lang="en-US" sz="2400">
                    <a:latin typeface="Times New Roman"/>
                    <a:cs typeface="Times New Roman"/>
                  </a:rPr>
                  <a:t>Radius of Moving Window (m)</a:t>
                </a:r>
              </a:p>
            </c:rich>
          </c:tx>
          <c:layout>
            <c:manualLayout>
              <c:xMode val="edge"/>
              <c:yMode val="edge"/>
              <c:x val="0.26288057742782101"/>
              <c:y val="0.90544015825914903"/>
            </c:manualLayout>
          </c:layout>
          <c:overlay val="0"/>
        </c:title>
        <c:numFmt formatCode="General" sourceLinked="1"/>
        <c:majorTickMark val="out"/>
        <c:minorTickMark val="none"/>
        <c:tickLblPos val="nextTo"/>
        <c:txPr>
          <a:bodyPr/>
          <a:lstStyle/>
          <a:p>
            <a:pPr>
              <a:defRPr sz="2000">
                <a:latin typeface="Times New Roman"/>
                <a:cs typeface="Times New Roman"/>
              </a:defRPr>
            </a:pPr>
            <a:endParaRPr lang="en-US"/>
          </a:p>
        </c:txPr>
        <c:crossAx val="1802684216"/>
        <c:crosses val="autoZero"/>
        <c:crossBetween val="midCat"/>
      </c:valAx>
      <c:valAx>
        <c:axId val="1802684216"/>
        <c:scaling>
          <c:orientation val="minMax"/>
          <c:max val="100"/>
        </c:scaling>
        <c:delete val="0"/>
        <c:axPos val="l"/>
        <c:majorGridlines>
          <c:spPr>
            <a:ln>
              <a:noFill/>
            </a:ln>
          </c:spPr>
        </c:majorGridlines>
        <c:title>
          <c:tx>
            <c:rich>
              <a:bodyPr rot="-5400000" vert="horz"/>
              <a:lstStyle/>
              <a:p>
                <a:pPr>
                  <a:defRPr sz="2400">
                    <a:latin typeface="Times New Roman"/>
                    <a:cs typeface="Times New Roman"/>
                  </a:defRPr>
                </a:pPr>
                <a:r>
                  <a:rPr lang="en-US" sz="2400">
                    <a:latin typeface="Times New Roman"/>
                    <a:cs typeface="Times New Roman"/>
                  </a:rPr>
                  <a:t>Overall Accuracy (%)</a:t>
                </a:r>
              </a:p>
            </c:rich>
          </c:tx>
          <c:overlay val="0"/>
        </c:title>
        <c:numFmt formatCode="0" sourceLinked="0"/>
        <c:majorTickMark val="out"/>
        <c:minorTickMark val="none"/>
        <c:tickLblPos val="nextTo"/>
        <c:txPr>
          <a:bodyPr/>
          <a:lstStyle/>
          <a:p>
            <a:pPr>
              <a:defRPr sz="2000">
                <a:latin typeface="Times New Roman"/>
                <a:cs typeface="Times New Roman"/>
              </a:defRPr>
            </a:pPr>
            <a:endParaRPr lang="en-US"/>
          </a:p>
        </c:txPr>
        <c:crossAx val="1939615912"/>
        <c:crosses val="autoZero"/>
        <c:crossBetween val="midCat"/>
      </c:valAx>
      <c:spPr>
        <a:ln>
          <a:solidFill>
            <a:schemeClr val="tx1">
              <a:lumMod val="50000"/>
              <a:lumOff val="50000"/>
            </a:schemeClr>
          </a:solidFill>
        </a:ln>
      </c:spPr>
    </c:plotArea>
    <c:plotVisOnly val="1"/>
    <c:dispBlanksAs val="gap"/>
    <c:showDLblsOverMax val="0"/>
  </c:chart>
  <c:spPr>
    <a:effectLst/>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3000">
                <a:latin typeface="Times New Roman"/>
                <a:cs typeface="Times New Roman"/>
              </a:defRPr>
            </a:pPr>
            <a:r>
              <a:rPr lang="en-US" sz="3000">
                <a:latin typeface="Times New Roman"/>
                <a:cs typeface="Times New Roman"/>
              </a:rPr>
              <a:t>(b)</a:t>
            </a:r>
            <a:r>
              <a:rPr lang="en-US" sz="3000" baseline="0">
                <a:latin typeface="Times New Roman"/>
                <a:cs typeface="Times New Roman"/>
              </a:rPr>
              <a:t> Craters</a:t>
            </a:r>
            <a:endParaRPr lang="en-US" sz="3000">
              <a:latin typeface="Times New Roman"/>
              <a:cs typeface="Times New Roman"/>
            </a:endParaRPr>
          </a:p>
        </c:rich>
      </c:tx>
      <c:overlay val="0"/>
    </c:title>
    <c:autoTitleDeleted val="0"/>
    <c:plotArea>
      <c:layout>
        <c:manualLayout>
          <c:layoutTarget val="inner"/>
          <c:xMode val="edge"/>
          <c:yMode val="edge"/>
          <c:x val="0.154443060688842"/>
          <c:y val="0.13452027695351099"/>
          <c:w val="0.76534442123306001"/>
          <c:h val="0.67818001978239395"/>
        </c:manualLayout>
      </c:layout>
      <c:scatterChart>
        <c:scatterStyle val="lineMarker"/>
        <c:varyColors val="0"/>
        <c:ser>
          <c:idx val="2"/>
          <c:order val="0"/>
          <c:tx>
            <c:v>GAP</c:v>
          </c:tx>
          <c:spPr>
            <a:ln w="47625">
              <a:noFill/>
            </a:ln>
            <a:effectLst/>
          </c:spPr>
          <c:marker>
            <c:symbol val="triangle"/>
            <c:size val="7"/>
            <c:spPr>
              <a:solidFill>
                <a:schemeClr val="bg1">
                  <a:lumMod val="65000"/>
                </a:schemeClr>
              </a:solidFill>
              <a:ln>
                <a:noFill/>
              </a:ln>
              <a:effectLst/>
            </c:spPr>
          </c:marker>
          <c:trendline>
            <c:spPr>
              <a:ln cap="rnd">
                <a:solidFill>
                  <a:schemeClr val="tx1"/>
                </a:solidFill>
                <a:prstDash val="solid"/>
                <a:round/>
              </a:ln>
            </c:spPr>
            <c:trendlineType val="linear"/>
            <c:dispRSqr val="0"/>
            <c:dispEq val="0"/>
          </c:trendline>
          <c:xVal>
            <c:numRef>
              <c:f>graphs_fig5!$C$38:$C$41</c:f>
              <c:numCache>
                <c:formatCode>General</c:formatCode>
                <c:ptCount val="4"/>
                <c:pt idx="0">
                  <c:v>0</c:v>
                </c:pt>
                <c:pt idx="1">
                  <c:v>100</c:v>
                </c:pt>
                <c:pt idx="2">
                  <c:v>1000</c:v>
                </c:pt>
                <c:pt idx="3">
                  <c:v>5000</c:v>
                </c:pt>
              </c:numCache>
            </c:numRef>
          </c:xVal>
          <c:yVal>
            <c:numRef>
              <c:f>graphs_fig5!$E$38:$E$41</c:f>
              <c:numCache>
                <c:formatCode>0.00</c:formatCode>
                <c:ptCount val="4"/>
                <c:pt idx="0">
                  <c:v>93.75</c:v>
                </c:pt>
                <c:pt idx="1">
                  <c:v>81.25</c:v>
                </c:pt>
                <c:pt idx="2">
                  <c:v>81.25</c:v>
                </c:pt>
                <c:pt idx="3">
                  <c:v>81.25</c:v>
                </c:pt>
              </c:numCache>
            </c:numRef>
          </c:yVal>
          <c:smooth val="0"/>
          <c:extLst>
            <c:ext xmlns:c16="http://schemas.microsoft.com/office/drawing/2014/chart" uri="{C3380CC4-5D6E-409C-BE32-E72D297353CC}">
              <c16:uniqueId val="{00000001-2816-9644-867B-EBADFF6ABE1B}"/>
            </c:ext>
          </c:extLst>
        </c:ser>
        <c:ser>
          <c:idx val="1"/>
          <c:order val="1"/>
          <c:tx>
            <c:v>LANDFIRE, community</c:v>
          </c:tx>
          <c:spPr>
            <a:ln w="47625">
              <a:noFill/>
            </a:ln>
            <a:effectLst/>
          </c:spPr>
          <c:marker>
            <c:symbol val="square"/>
            <c:size val="7"/>
            <c:spPr>
              <a:solidFill>
                <a:schemeClr val="tx1"/>
              </a:solidFill>
              <a:ln>
                <a:noFill/>
              </a:ln>
              <a:effectLst/>
            </c:spPr>
          </c:marker>
          <c:trendline>
            <c:spPr>
              <a:ln>
                <a:solidFill>
                  <a:schemeClr val="bg1">
                    <a:lumMod val="65000"/>
                  </a:schemeClr>
                </a:solidFill>
                <a:prstDash val="sysDash"/>
              </a:ln>
            </c:spPr>
            <c:trendlineType val="linear"/>
            <c:dispRSqr val="0"/>
            <c:dispEq val="0"/>
          </c:trendline>
          <c:xVal>
            <c:numRef>
              <c:f>graphs_fig5!$C$42:$C$45</c:f>
              <c:numCache>
                <c:formatCode>General</c:formatCode>
                <c:ptCount val="4"/>
                <c:pt idx="0">
                  <c:v>0</c:v>
                </c:pt>
                <c:pt idx="1">
                  <c:v>100</c:v>
                </c:pt>
                <c:pt idx="2">
                  <c:v>1000</c:v>
                </c:pt>
                <c:pt idx="3">
                  <c:v>5000</c:v>
                </c:pt>
              </c:numCache>
            </c:numRef>
          </c:xVal>
          <c:yVal>
            <c:numRef>
              <c:f>graphs_fig5!$E$42:$E$45</c:f>
              <c:numCache>
                <c:formatCode>0.00</c:formatCode>
                <c:ptCount val="4"/>
                <c:pt idx="0">
                  <c:v>18.75</c:v>
                </c:pt>
                <c:pt idx="1">
                  <c:v>9.375</c:v>
                </c:pt>
                <c:pt idx="2">
                  <c:v>12.5</c:v>
                </c:pt>
                <c:pt idx="3">
                  <c:v>40.625</c:v>
                </c:pt>
              </c:numCache>
            </c:numRef>
          </c:yVal>
          <c:smooth val="0"/>
          <c:extLst>
            <c:ext xmlns:c16="http://schemas.microsoft.com/office/drawing/2014/chart" uri="{C3380CC4-5D6E-409C-BE32-E72D297353CC}">
              <c16:uniqueId val="{00000003-2816-9644-867B-EBADFF6ABE1B}"/>
            </c:ext>
          </c:extLst>
        </c:ser>
        <c:ser>
          <c:idx val="0"/>
          <c:order val="2"/>
          <c:tx>
            <c:v>LANDFIRE, species</c:v>
          </c:tx>
          <c:spPr>
            <a:ln w="47625">
              <a:noFill/>
            </a:ln>
            <a:effectLst/>
          </c:spPr>
          <c:marker>
            <c:symbol val="circle"/>
            <c:size val="7"/>
            <c:spPr>
              <a:noFill/>
              <a:ln>
                <a:solidFill>
                  <a:schemeClr val="tx1"/>
                </a:solidFill>
              </a:ln>
              <a:effectLst/>
            </c:spPr>
          </c:marker>
          <c:trendline>
            <c:spPr>
              <a:ln>
                <a:prstDash val="lgDash"/>
              </a:ln>
            </c:spPr>
            <c:trendlineType val="linear"/>
            <c:dispRSqr val="0"/>
            <c:dispEq val="0"/>
          </c:trendline>
          <c:xVal>
            <c:numRef>
              <c:f>graphs_fig5!$C$46:$C$49</c:f>
              <c:numCache>
                <c:formatCode>General</c:formatCode>
                <c:ptCount val="4"/>
                <c:pt idx="0">
                  <c:v>0</c:v>
                </c:pt>
                <c:pt idx="1">
                  <c:v>100</c:v>
                </c:pt>
                <c:pt idx="2">
                  <c:v>1000</c:v>
                </c:pt>
                <c:pt idx="3">
                  <c:v>5000</c:v>
                </c:pt>
              </c:numCache>
            </c:numRef>
          </c:xVal>
          <c:yVal>
            <c:numRef>
              <c:f>graphs_fig5!$E$46:$E$49</c:f>
              <c:numCache>
                <c:formatCode>0.00</c:formatCode>
                <c:ptCount val="4"/>
                <c:pt idx="0">
                  <c:v>15.625</c:v>
                </c:pt>
                <c:pt idx="1">
                  <c:v>12.5</c:v>
                </c:pt>
                <c:pt idx="2">
                  <c:v>15.625</c:v>
                </c:pt>
                <c:pt idx="3">
                  <c:v>12.5</c:v>
                </c:pt>
              </c:numCache>
            </c:numRef>
          </c:yVal>
          <c:smooth val="0"/>
          <c:extLst>
            <c:ext xmlns:c16="http://schemas.microsoft.com/office/drawing/2014/chart" uri="{C3380CC4-5D6E-409C-BE32-E72D297353CC}">
              <c16:uniqueId val="{00000005-2816-9644-867B-EBADFF6ABE1B}"/>
            </c:ext>
          </c:extLst>
        </c:ser>
        <c:dLbls>
          <c:showLegendKey val="0"/>
          <c:showVal val="0"/>
          <c:showCatName val="0"/>
          <c:showSerName val="0"/>
          <c:showPercent val="0"/>
          <c:showBubbleSize val="0"/>
        </c:dLbls>
        <c:axId val="1939615912"/>
        <c:axId val="1802684216"/>
      </c:scatterChart>
      <c:valAx>
        <c:axId val="1939615912"/>
        <c:scaling>
          <c:orientation val="minMax"/>
          <c:max val="5000"/>
        </c:scaling>
        <c:delete val="0"/>
        <c:axPos val="b"/>
        <c:title>
          <c:tx>
            <c:rich>
              <a:bodyPr/>
              <a:lstStyle/>
              <a:p>
                <a:pPr>
                  <a:defRPr sz="2400">
                    <a:latin typeface="Times New Roman"/>
                    <a:cs typeface="Times New Roman"/>
                  </a:defRPr>
                </a:pPr>
                <a:r>
                  <a:rPr lang="en-US" sz="2400">
                    <a:latin typeface="Times New Roman"/>
                    <a:cs typeface="Times New Roman"/>
                  </a:rPr>
                  <a:t>Radius of Moving Window (m)</a:t>
                </a:r>
              </a:p>
            </c:rich>
          </c:tx>
          <c:layout>
            <c:manualLayout>
              <c:xMode val="edge"/>
              <c:yMode val="edge"/>
              <c:x val="0.26288057742782101"/>
              <c:y val="0.90544015825914903"/>
            </c:manualLayout>
          </c:layout>
          <c:overlay val="0"/>
        </c:title>
        <c:numFmt formatCode="General" sourceLinked="1"/>
        <c:majorTickMark val="out"/>
        <c:minorTickMark val="none"/>
        <c:tickLblPos val="nextTo"/>
        <c:txPr>
          <a:bodyPr/>
          <a:lstStyle/>
          <a:p>
            <a:pPr>
              <a:defRPr sz="2000">
                <a:latin typeface="Times New Roman"/>
                <a:cs typeface="Times New Roman"/>
              </a:defRPr>
            </a:pPr>
            <a:endParaRPr lang="en-US"/>
          </a:p>
        </c:txPr>
        <c:crossAx val="1802684216"/>
        <c:crosses val="autoZero"/>
        <c:crossBetween val="midCat"/>
      </c:valAx>
      <c:valAx>
        <c:axId val="1802684216"/>
        <c:scaling>
          <c:orientation val="minMax"/>
          <c:max val="100"/>
        </c:scaling>
        <c:delete val="0"/>
        <c:axPos val="l"/>
        <c:majorGridlines>
          <c:spPr>
            <a:ln>
              <a:noFill/>
            </a:ln>
          </c:spPr>
        </c:majorGridlines>
        <c:title>
          <c:tx>
            <c:rich>
              <a:bodyPr rot="-5400000" vert="horz"/>
              <a:lstStyle/>
              <a:p>
                <a:pPr>
                  <a:defRPr sz="2400">
                    <a:latin typeface="Times New Roman"/>
                    <a:cs typeface="Times New Roman"/>
                  </a:defRPr>
                </a:pPr>
                <a:r>
                  <a:rPr lang="en-US" sz="2400">
                    <a:latin typeface="Times New Roman"/>
                    <a:cs typeface="Times New Roman"/>
                  </a:rPr>
                  <a:t>Overall Accuracy (%)</a:t>
                </a:r>
              </a:p>
            </c:rich>
          </c:tx>
          <c:overlay val="0"/>
        </c:title>
        <c:numFmt formatCode="0" sourceLinked="0"/>
        <c:majorTickMark val="out"/>
        <c:minorTickMark val="none"/>
        <c:tickLblPos val="nextTo"/>
        <c:txPr>
          <a:bodyPr/>
          <a:lstStyle/>
          <a:p>
            <a:pPr>
              <a:defRPr sz="2000">
                <a:latin typeface="Times New Roman"/>
                <a:cs typeface="Times New Roman"/>
              </a:defRPr>
            </a:pPr>
            <a:endParaRPr lang="en-US"/>
          </a:p>
        </c:txPr>
        <c:crossAx val="1939615912"/>
        <c:crosses val="autoZero"/>
        <c:crossBetween val="midCat"/>
      </c:valAx>
      <c:spPr>
        <a:ln>
          <a:solidFill>
            <a:schemeClr val="tx1">
              <a:lumMod val="50000"/>
              <a:lumOff val="50000"/>
            </a:schemeClr>
          </a:solidFill>
        </a:ln>
      </c:spPr>
    </c:plotArea>
    <c:plotVisOnly val="1"/>
    <c:dispBlanksAs val="gap"/>
    <c:showDLblsOverMax val="0"/>
  </c:chart>
  <c:spPr>
    <a:effectLst/>
  </c:spPr>
  <c:printSettings>
    <c:headerFooter/>
    <c:pageMargins b="1" l="0.75" r="0.75" t="1" header="0.5" footer="0.5"/>
    <c:pageSetup orientation="portrait"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3000">
                <a:latin typeface="Times New Roman"/>
                <a:cs typeface="Times New Roman"/>
              </a:defRPr>
            </a:pPr>
            <a:r>
              <a:rPr lang="en-US" sz="3000">
                <a:latin typeface="Times New Roman"/>
                <a:cs typeface="Times New Roman"/>
              </a:rPr>
              <a:t>(c)</a:t>
            </a:r>
            <a:r>
              <a:rPr lang="en-US" sz="3000" baseline="0">
                <a:latin typeface="Times New Roman"/>
                <a:cs typeface="Times New Roman"/>
              </a:rPr>
              <a:t> Raft River</a:t>
            </a:r>
            <a:endParaRPr lang="en-US" sz="3000">
              <a:latin typeface="Times New Roman"/>
              <a:cs typeface="Times New Roman"/>
            </a:endParaRPr>
          </a:p>
        </c:rich>
      </c:tx>
      <c:overlay val="0"/>
    </c:title>
    <c:autoTitleDeleted val="0"/>
    <c:plotArea>
      <c:layout>
        <c:manualLayout>
          <c:layoutTarget val="inner"/>
          <c:xMode val="edge"/>
          <c:yMode val="edge"/>
          <c:x val="0.154443060688842"/>
          <c:y val="0.13452027695351099"/>
          <c:w val="0.76534442123306001"/>
          <c:h val="0.67818001978239395"/>
        </c:manualLayout>
      </c:layout>
      <c:scatterChart>
        <c:scatterStyle val="lineMarker"/>
        <c:varyColors val="0"/>
        <c:ser>
          <c:idx val="2"/>
          <c:order val="0"/>
          <c:tx>
            <c:v>GAP</c:v>
          </c:tx>
          <c:spPr>
            <a:ln w="47625">
              <a:noFill/>
            </a:ln>
            <a:effectLst/>
          </c:spPr>
          <c:marker>
            <c:symbol val="triangle"/>
            <c:size val="7"/>
            <c:spPr>
              <a:solidFill>
                <a:schemeClr val="bg1">
                  <a:lumMod val="65000"/>
                </a:schemeClr>
              </a:solidFill>
              <a:ln>
                <a:noFill/>
              </a:ln>
              <a:effectLst/>
            </c:spPr>
          </c:marker>
          <c:trendline>
            <c:spPr>
              <a:ln cap="rnd">
                <a:solidFill>
                  <a:schemeClr val="tx1"/>
                </a:solidFill>
                <a:prstDash val="solid"/>
                <a:round/>
              </a:ln>
            </c:spPr>
            <c:trendlineType val="linear"/>
            <c:dispRSqr val="0"/>
            <c:dispEq val="0"/>
          </c:trendline>
          <c:xVal>
            <c:numRef>
              <c:f>graphs_fig5!$C$74:$C$77</c:f>
              <c:numCache>
                <c:formatCode>General</c:formatCode>
                <c:ptCount val="4"/>
                <c:pt idx="0">
                  <c:v>0</c:v>
                </c:pt>
                <c:pt idx="1">
                  <c:v>100</c:v>
                </c:pt>
                <c:pt idx="2">
                  <c:v>1000</c:v>
                </c:pt>
                <c:pt idx="3">
                  <c:v>5000</c:v>
                </c:pt>
              </c:numCache>
            </c:numRef>
          </c:xVal>
          <c:yVal>
            <c:numRef>
              <c:f>graphs_fig5!$E$74:$E$77</c:f>
              <c:numCache>
                <c:formatCode>0.00</c:formatCode>
                <c:ptCount val="4"/>
                <c:pt idx="0">
                  <c:v>61.616161616161612</c:v>
                </c:pt>
                <c:pt idx="1">
                  <c:v>52.525252525252533</c:v>
                </c:pt>
                <c:pt idx="2">
                  <c:v>34.343434343434339</c:v>
                </c:pt>
                <c:pt idx="3">
                  <c:v>22.222222222222221</c:v>
                </c:pt>
              </c:numCache>
            </c:numRef>
          </c:yVal>
          <c:smooth val="0"/>
          <c:extLst>
            <c:ext xmlns:c16="http://schemas.microsoft.com/office/drawing/2014/chart" uri="{C3380CC4-5D6E-409C-BE32-E72D297353CC}">
              <c16:uniqueId val="{00000001-957C-FC43-A217-F8E396A2BD08}"/>
            </c:ext>
          </c:extLst>
        </c:ser>
        <c:ser>
          <c:idx val="1"/>
          <c:order val="1"/>
          <c:tx>
            <c:v>LANDFIRE, community</c:v>
          </c:tx>
          <c:spPr>
            <a:ln w="47625">
              <a:noFill/>
            </a:ln>
            <a:effectLst/>
          </c:spPr>
          <c:marker>
            <c:symbol val="square"/>
            <c:size val="7"/>
            <c:spPr>
              <a:solidFill>
                <a:schemeClr val="tx1"/>
              </a:solidFill>
              <a:ln>
                <a:noFill/>
              </a:ln>
              <a:effectLst/>
            </c:spPr>
          </c:marker>
          <c:trendline>
            <c:spPr>
              <a:ln>
                <a:solidFill>
                  <a:schemeClr val="bg1">
                    <a:lumMod val="65000"/>
                  </a:schemeClr>
                </a:solidFill>
                <a:prstDash val="sysDash"/>
              </a:ln>
            </c:spPr>
            <c:trendlineType val="linear"/>
            <c:dispRSqr val="0"/>
            <c:dispEq val="0"/>
          </c:trendline>
          <c:xVal>
            <c:numRef>
              <c:f>graphs_fig5!$C$78:$C$81</c:f>
              <c:numCache>
                <c:formatCode>General</c:formatCode>
                <c:ptCount val="4"/>
                <c:pt idx="0">
                  <c:v>0</c:v>
                </c:pt>
                <c:pt idx="1">
                  <c:v>100</c:v>
                </c:pt>
                <c:pt idx="2">
                  <c:v>1000</c:v>
                </c:pt>
                <c:pt idx="3">
                  <c:v>5000</c:v>
                </c:pt>
              </c:numCache>
            </c:numRef>
          </c:xVal>
          <c:yVal>
            <c:numRef>
              <c:f>graphs_fig5!$E$78:$E$81</c:f>
              <c:numCache>
                <c:formatCode>0.00</c:formatCode>
                <c:ptCount val="4"/>
                <c:pt idx="0">
                  <c:v>82.828282828282823</c:v>
                </c:pt>
                <c:pt idx="1">
                  <c:v>77.777777777777786</c:v>
                </c:pt>
                <c:pt idx="2">
                  <c:v>76.767676767676761</c:v>
                </c:pt>
                <c:pt idx="3">
                  <c:v>62.62626262626263</c:v>
                </c:pt>
              </c:numCache>
            </c:numRef>
          </c:yVal>
          <c:smooth val="0"/>
          <c:extLst>
            <c:ext xmlns:c16="http://schemas.microsoft.com/office/drawing/2014/chart" uri="{C3380CC4-5D6E-409C-BE32-E72D297353CC}">
              <c16:uniqueId val="{00000003-957C-FC43-A217-F8E396A2BD08}"/>
            </c:ext>
          </c:extLst>
        </c:ser>
        <c:ser>
          <c:idx val="0"/>
          <c:order val="2"/>
          <c:tx>
            <c:v>LANDFIRE, species</c:v>
          </c:tx>
          <c:spPr>
            <a:ln w="47625">
              <a:noFill/>
            </a:ln>
            <a:effectLst/>
          </c:spPr>
          <c:marker>
            <c:symbol val="circle"/>
            <c:size val="7"/>
            <c:spPr>
              <a:noFill/>
              <a:ln>
                <a:solidFill>
                  <a:schemeClr val="tx1"/>
                </a:solidFill>
              </a:ln>
              <a:effectLst/>
            </c:spPr>
          </c:marker>
          <c:trendline>
            <c:spPr>
              <a:ln>
                <a:prstDash val="lgDash"/>
              </a:ln>
            </c:spPr>
            <c:trendlineType val="linear"/>
            <c:dispRSqr val="0"/>
            <c:dispEq val="0"/>
          </c:trendline>
          <c:xVal>
            <c:numRef>
              <c:f>graphs_fig5!$C$82:$C$85</c:f>
              <c:numCache>
                <c:formatCode>General</c:formatCode>
                <c:ptCount val="4"/>
                <c:pt idx="0">
                  <c:v>0</c:v>
                </c:pt>
                <c:pt idx="1">
                  <c:v>100</c:v>
                </c:pt>
                <c:pt idx="2">
                  <c:v>1000</c:v>
                </c:pt>
                <c:pt idx="3">
                  <c:v>5000</c:v>
                </c:pt>
              </c:numCache>
            </c:numRef>
          </c:xVal>
          <c:yVal>
            <c:numRef>
              <c:f>graphs_fig5!$E$82:$E$85</c:f>
              <c:numCache>
                <c:formatCode>0.00</c:formatCode>
                <c:ptCount val="4"/>
                <c:pt idx="0">
                  <c:v>81.818181818181827</c:v>
                </c:pt>
                <c:pt idx="1">
                  <c:v>76.767676767676761</c:v>
                </c:pt>
                <c:pt idx="2">
                  <c:v>76.767676767676761</c:v>
                </c:pt>
                <c:pt idx="3">
                  <c:v>62.62626262626263</c:v>
                </c:pt>
              </c:numCache>
            </c:numRef>
          </c:yVal>
          <c:smooth val="0"/>
          <c:extLst>
            <c:ext xmlns:c16="http://schemas.microsoft.com/office/drawing/2014/chart" uri="{C3380CC4-5D6E-409C-BE32-E72D297353CC}">
              <c16:uniqueId val="{00000005-957C-FC43-A217-F8E396A2BD08}"/>
            </c:ext>
          </c:extLst>
        </c:ser>
        <c:dLbls>
          <c:showLegendKey val="0"/>
          <c:showVal val="0"/>
          <c:showCatName val="0"/>
          <c:showSerName val="0"/>
          <c:showPercent val="0"/>
          <c:showBubbleSize val="0"/>
        </c:dLbls>
        <c:axId val="1939615912"/>
        <c:axId val="1802684216"/>
      </c:scatterChart>
      <c:valAx>
        <c:axId val="1939615912"/>
        <c:scaling>
          <c:orientation val="minMax"/>
          <c:max val="5000"/>
        </c:scaling>
        <c:delete val="0"/>
        <c:axPos val="b"/>
        <c:title>
          <c:tx>
            <c:rich>
              <a:bodyPr/>
              <a:lstStyle/>
              <a:p>
                <a:pPr>
                  <a:defRPr sz="2400">
                    <a:latin typeface="Times New Roman"/>
                    <a:cs typeface="Times New Roman"/>
                  </a:defRPr>
                </a:pPr>
                <a:r>
                  <a:rPr lang="en-US" sz="2400">
                    <a:latin typeface="Times New Roman"/>
                    <a:cs typeface="Times New Roman"/>
                  </a:rPr>
                  <a:t>Radius of Moving Window (m)</a:t>
                </a:r>
              </a:p>
            </c:rich>
          </c:tx>
          <c:layout>
            <c:manualLayout>
              <c:xMode val="edge"/>
              <c:yMode val="edge"/>
              <c:x val="0.26288057742782101"/>
              <c:y val="0.90544015825914903"/>
            </c:manualLayout>
          </c:layout>
          <c:overlay val="0"/>
        </c:title>
        <c:numFmt formatCode="General" sourceLinked="1"/>
        <c:majorTickMark val="out"/>
        <c:minorTickMark val="none"/>
        <c:tickLblPos val="nextTo"/>
        <c:txPr>
          <a:bodyPr/>
          <a:lstStyle/>
          <a:p>
            <a:pPr>
              <a:defRPr sz="2000">
                <a:latin typeface="Times New Roman"/>
                <a:cs typeface="Times New Roman"/>
              </a:defRPr>
            </a:pPr>
            <a:endParaRPr lang="en-US"/>
          </a:p>
        </c:txPr>
        <c:crossAx val="1802684216"/>
        <c:crosses val="autoZero"/>
        <c:crossBetween val="midCat"/>
      </c:valAx>
      <c:valAx>
        <c:axId val="1802684216"/>
        <c:scaling>
          <c:orientation val="minMax"/>
          <c:max val="100"/>
        </c:scaling>
        <c:delete val="0"/>
        <c:axPos val="l"/>
        <c:majorGridlines>
          <c:spPr>
            <a:ln>
              <a:noFill/>
            </a:ln>
          </c:spPr>
        </c:majorGridlines>
        <c:title>
          <c:tx>
            <c:rich>
              <a:bodyPr rot="-5400000" vert="horz"/>
              <a:lstStyle/>
              <a:p>
                <a:pPr>
                  <a:defRPr sz="2400">
                    <a:latin typeface="Times New Roman"/>
                    <a:cs typeface="Times New Roman"/>
                  </a:defRPr>
                </a:pPr>
                <a:r>
                  <a:rPr lang="en-US" sz="2400">
                    <a:latin typeface="Times New Roman"/>
                    <a:cs typeface="Times New Roman"/>
                  </a:rPr>
                  <a:t>Overall Accuracy (%)</a:t>
                </a:r>
              </a:p>
            </c:rich>
          </c:tx>
          <c:overlay val="0"/>
        </c:title>
        <c:numFmt formatCode="0" sourceLinked="0"/>
        <c:majorTickMark val="out"/>
        <c:minorTickMark val="none"/>
        <c:tickLblPos val="nextTo"/>
        <c:txPr>
          <a:bodyPr/>
          <a:lstStyle/>
          <a:p>
            <a:pPr>
              <a:defRPr sz="2000">
                <a:latin typeface="Times New Roman"/>
                <a:cs typeface="Times New Roman"/>
              </a:defRPr>
            </a:pPr>
            <a:endParaRPr lang="en-US"/>
          </a:p>
        </c:txPr>
        <c:crossAx val="1939615912"/>
        <c:crosses val="autoZero"/>
        <c:crossBetween val="midCat"/>
      </c:valAx>
      <c:spPr>
        <a:ln>
          <a:solidFill>
            <a:schemeClr val="tx1">
              <a:lumMod val="50000"/>
              <a:lumOff val="50000"/>
            </a:schemeClr>
          </a:solidFill>
        </a:ln>
      </c:spPr>
    </c:plotArea>
    <c:plotVisOnly val="1"/>
    <c:dispBlanksAs val="gap"/>
    <c:showDLblsOverMax val="0"/>
  </c:chart>
  <c:spPr>
    <a:effectLst/>
  </c:spPr>
  <c:printSettings>
    <c:headerFooter/>
    <c:pageMargins b="1" l="0.75" r="0.75" t="1" header="0.5" footer="0.5"/>
    <c:pageSetup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3000">
                <a:latin typeface="Times New Roman"/>
                <a:cs typeface="Times New Roman"/>
              </a:defRPr>
            </a:pPr>
            <a:r>
              <a:rPr lang="en-US" sz="3000">
                <a:latin typeface="Times New Roman"/>
                <a:cs typeface="Times New Roman"/>
              </a:rPr>
              <a:t>(d)</a:t>
            </a:r>
            <a:r>
              <a:rPr lang="en-US" sz="3000" baseline="0">
                <a:latin typeface="Times New Roman"/>
                <a:cs typeface="Times New Roman"/>
              </a:rPr>
              <a:t> Wyoming</a:t>
            </a:r>
            <a:endParaRPr lang="en-US" sz="3000">
              <a:latin typeface="Times New Roman"/>
              <a:cs typeface="Times New Roman"/>
            </a:endParaRPr>
          </a:p>
        </c:rich>
      </c:tx>
      <c:overlay val="0"/>
    </c:title>
    <c:autoTitleDeleted val="0"/>
    <c:plotArea>
      <c:layout>
        <c:manualLayout>
          <c:layoutTarget val="inner"/>
          <c:xMode val="edge"/>
          <c:yMode val="edge"/>
          <c:x val="0.154443060688842"/>
          <c:y val="0.13452027695351099"/>
          <c:w val="0.76534442123306001"/>
          <c:h val="0.67818001978239395"/>
        </c:manualLayout>
      </c:layout>
      <c:scatterChart>
        <c:scatterStyle val="lineMarker"/>
        <c:varyColors val="0"/>
        <c:ser>
          <c:idx val="2"/>
          <c:order val="0"/>
          <c:tx>
            <c:v>GAP</c:v>
          </c:tx>
          <c:spPr>
            <a:ln w="47625">
              <a:noFill/>
            </a:ln>
            <a:effectLst/>
          </c:spPr>
          <c:marker>
            <c:symbol val="triangle"/>
            <c:size val="7"/>
            <c:spPr>
              <a:solidFill>
                <a:schemeClr val="bg1">
                  <a:lumMod val="65000"/>
                </a:schemeClr>
              </a:solidFill>
              <a:ln>
                <a:noFill/>
              </a:ln>
              <a:effectLst/>
            </c:spPr>
          </c:marker>
          <c:trendline>
            <c:spPr>
              <a:ln cap="rnd">
                <a:solidFill>
                  <a:schemeClr val="tx1"/>
                </a:solidFill>
                <a:prstDash val="solid"/>
                <a:round/>
              </a:ln>
            </c:spPr>
            <c:trendlineType val="linear"/>
            <c:dispRSqr val="0"/>
            <c:dispEq val="0"/>
          </c:trendline>
          <c:xVal>
            <c:numRef>
              <c:f>graphs_fig5!$C$110:$C$113</c:f>
              <c:numCache>
                <c:formatCode>General</c:formatCode>
                <c:ptCount val="4"/>
                <c:pt idx="0">
                  <c:v>0</c:v>
                </c:pt>
                <c:pt idx="1">
                  <c:v>100</c:v>
                </c:pt>
                <c:pt idx="2">
                  <c:v>1000</c:v>
                </c:pt>
                <c:pt idx="3">
                  <c:v>5000</c:v>
                </c:pt>
              </c:numCache>
            </c:numRef>
          </c:xVal>
          <c:yVal>
            <c:numRef>
              <c:f>graphs_fig5!$E$110:$E$113</c:f>
              <c:numCache>
                <c:formatCode>0.00</c:formatCode>
                <c:ptCount val="4"/>
                <c:pt idx="0">
                  <c:v>0</c:v>
                </c:pt>
                <c:pt idx="1">
                  <c:v>48.780487804878049</c:v>
                </c:pt>
                <c:pt idx="2">
                  <c:v>53.658536585365859</c:v>
                </c:pt>
                <c:pt idx="3">
                  <c:v>53.658536585365859</c:v>
                </c:pt>
              </c:numCache>
            </c:numRef>
          </c:yVal>
          <c:smooth val="0"/>
          <c:extLst>
            <c:ext xmlns:c16="http://schemas.microsoft.com/office/drawing/2014/chart" uri="{C3380CC4-5D6E-409C-BE32-E72D297353CC}">
              <c16:uniqueId val="{00000001-C522-0345-AEA2-1331C1C47BB2}"/>
            </c:ext>
          </c:extLst>
        </c:ser>
        <c:ser>
          <c:idx val="1"/>
          <c:order val="1"/>
          <c:tx>
            <c:v>LANDFIRE, community</c:v>
          </c:tx>
          <c:spPr>
            <a:ln w="47625">
              <a:noFill/>
            </a:ln>
            <a:effectLst/>
          </c:spPr>
          <c:marker>
            <c:symbol val="square"/>
            <c:size val="7"/>
            <c:spPr>
              <a:solidFill>
                <a:schemeClr val="tx1"/>
              </a:solidFill>
              <a:ln>
                <a:noFill/>
              </a:ln>
              <a:effectLst/>
            </c:spPr>
          </c:marker>
          <c:trendline>
            <c:spPr>
              <a:ln>
                <a:solidFill>
                  <a:schemeClr val="bg1">
                    <a:lumMod val="65000"/>
                  </a:schemeClr>
                </a:solidFill>
                <a:prstDash val="sysDash"/>
              </a:ln>
            </c:spPr>
            <c:trendlineType val="linear"/>
            <c:dispRSqr val="0"/>
            <c:dispEq val="0"/>
          </c:trendline>
          <c:xVal>
            <c:numRef>
              <c:f>graphs_fig5!$C$114:$C$117</c:f>
              <c:numCache>
                <c:formatCode>General</c:formatCode>
                <c:ptCount val="4"/>
                <c:pt idx="0">
                  <c:v>0</c:v>
                </c:pt>
                <c:pt idx="1">
                  <c:v>100</c:v>
                </c:pt>
                <c:pt idx="2">
                  <c:v>1000</c:v>
                </c:pt>
                <c:pt idx="3">
                  <c:v>5000</c:v>
                </c:pt>
              </c:numCache>
            </c:numRef>
          </c:xVal>
          <c:yVal>
            <c:numRef>
              <c:f>graphs_fig5!$E$114:$E$117</c:f>
              <c:numCache>
                <c:formatCode>0.00</c:formatCode>
                <c:ptCount val="4"/>
                <c:pt idx="0">
                  <c:v>58.536585365853654</c:v>
                </c:pt>
                <c:pt idx="1">
                  <c:v>68.292682926829272</c:v>
                </c:pt>
                <c:pt idx="2">
                  <c:v>73.170731707317074</c:v>
                </c:pt>
                <c:pt idx="3">
                  <c:v>95.121951219512198</c:v>
                </c:pt>
              </c:numCache>
            </c:numRef>
          </c:yVal>
          <c:smooth val="0"/>
          <c:extLst>
            <c:ext xmlns:c16="http://schemas.microsoft.com/office/drawing/2014/chart" uri="{C3380CC4-5D6E-409C-BE32-E72D297353CC}">
              <c16:uniqueId val="{00000003-C522-0345-AEA2-1331C1C47BB2}"/>
            </c:ext>
          </c:extLst>
        </c:ser>
        <c:ser>
          <c:idx val="0"/>
          <c:order val="2"/>
          <c:tx>
            <c:v>LANDFIRE, species</c:v>
          </c:tx>
          <c:spPr>
            <a:ln w="47625">
              <a:noFill/>
            </a:ln>
            <a:effectLst/>
          </c:spPr>
          <c:marker>
            <c:symbol val="circle"/>
            <c:size val="7"/>
            <c:spPr>
              <a:noFill/>
              <a:ln>
                <a:solidFill>
                  <a:schemeClr val="tx1"/>
                </a:solidFill>
              </a:ln>
              <a:effectLst/>
            </c:spPr>
          </c:marker>
          <c:trendline>
            <c:spPr>
              <a:ln>
                <a:prstDash val="lgDash"/>
              </a:ln>
            </c:spPr>
            <c:trendlineType val="linear"/>
            <c:dispRSqr val="0"/>
            <c:dispEq val="0"/>
          </c:trendline>
          <c:xVal>
            <c:numRef>
              <c:f>graphs_fig5!$C$118:$C$121</c:f>
              <c:numCache>
                <c:formatCode>General</c:formatCode>
                <c:ptCount val="4"/>
                <c:pt idx="0">
                  <c:v>0</c:v>
                </c:pt>
                <c:pt idx="1">
                  <c:v>100</c:v>
                </c:pt>
                <c:pt idx="2">
                  <c:v>1000</c:v>
                </c:pt>
                <c:pt idx="3">
                  <c:v>5000</c:v>
                </c:pt>
              </c:numCache>
            </c:numRef>
          </c:xVal>
          <c:yVal>
            <c:numRef>
              <c:f>graphs_fig5!$E$118:$E$121</c:f>
              <c:numCache>
                <c:formatCode>0.00</c:formatCode>
                <c:ptCount val="4"/>
                <c:pt idx="0">
                  <c:v>60.975609756097562</c:v>
                </c:pt>
                <c:pt idx="1">
                  <c:v>65.853658536585371</c:v>
                </c:pt>
                <c:pt idx="2">
                  <c:v>78.048780487804876</c:v>
                </c:pt>
                <c:pt idx="3">
                  <c:v>100</c:v>
                </c:pt>
              </c:numCache>
            </c:numRef>
          </c:yVal>
          <c:smooth val="0"/>
          <c:extLst>
            <c:ext xmlns:c16="http://schemas.microsoft.com/office/drawing/2014/chart" uri="{C3380CC4-5D6E-409C-BE32-E72D297353CC}">
              <c16:uniqueId val="{00000005-C522-0345-AEA2-1331C1C47BB2}"/>
            </c:ext>
          </c:extLst>
        </c:ser>
        <c:dLbls>
          <c:showLegendKey val="0"/>
          <c:showVal val="0"/>
          <c:showCatName val="0"/>
          <c:showSerName val="0"/>
          <c:showPercent val="0"/>
          <c:showBubbleSize val="0"/>
        </c:dLbls>
        <c:axId val="1939615912"/>
        <c:axId val="1802684216"/>
      </c:scatterChart>
      <c:valAx>
        <c:axId val="1939615912"/>
        <c:scaling>
          <c:orientation val="minMax"/>
          <c:max val="5000"/>
        </c:scaling>
        <c:delete val="0"/>
        <c:axPos val="b"/>
        <c:title>
          <c:tx>
            <c:rich>
              <a:bodyPr/>
              <a:lstStyle/>
              <a:p>
                <a:pPr>
                  <a:defRPr sz="2400">
                    <a:latin typeface="Times New Roman"/>
                    <a:cs typeface="Times New Roman"/>
                  </a:defRPr>
                </a:pPr>
                <a:r>
                  <a:rPr lang="en-US" sz="2400">
                    <a:latin typeface="Times New Roman"/>
                    <a:cs typeface="Times New Roman"/>
                  </a:rPr>
                  <a:t>Radius of Moving Window (m)</a:t>
                </a:r>
              </a:p>
            </c:rich>
          </c:tx>
          <c:layout>
            <c:manualLayout>
              <c:xMode val="edge"/>
              <c:yMode val="edge"/>
              <c:x val="0.26288057742782101"/>
              <c:y val="0.90544015825914903"/>
            </c:manualLayout>
          </c:layout>
          <c:overlay val="0"/>
        </c:title>
        <c:numFmt formatCode="General" sourceLinked="1"/>
        <c:majorTickMark val="out"/>
        <c:minorTickMark val="none"/>
        <c:tickLblPos val="nextTo"/>
        <c:txPr>
          <a:bodyPr/>
          <a:lstStyle/>
          <a:p>
            <a:pPr>
              <a:defRPr sz="2000">
                <a:latin typeface="Times New Roman"/>
                <a:cs typeface="Times New Roman"/>
              </a:defRPr>
            </a:pPr>
            <a:endParaRPr lang="en-US"/>
          </a:p>
        </c:txPr>
        <c:crossAx val="1802684216"/>
        <c:crosses val="autoZero"/>
        <c:crossBetween val="midCat"/>
      </c:valAx>
      <c:valAx>
        <c:axId val="1802684216"/>
        <c:scaling>
          <c:orientation val="minMax"/>
          <c:max val="100"/>
        </c:scaling>
        <c:delete val="0"/>
        <c:axPos val="l"/>
        <c:majorGridlines>
          <c:spPr>
            <a:ln>
              <a:noFill/>
            </a:ln>
          </c:spPr>
        </c:majorGridlines>
        <c:title>
          <c:tx>
            <c:rich>
              <a:bodyPr rot="-5400000" vert="horz"/>
              <a:lstStyle/>
              <a:p>
                <a:pPr>
                  <a:defRPr sz="2400">
                    <a:latin typeface="Times New Roman"/>
                    <a:cs typeface="Times New Roman"/>
                  </a:defRPr>
                </a:pPr>
                <a:r>
                  <a:rPr lang="en-US" sz="2400">
                    <a:latin typeface="Times New Roman"/>
                    <a:cs typeface="Times New Roman"/>
                  </a:rPr>
                  <a:t>Overall Accuracy (%)</a:t>
                </a:r>
              </a:p>
            </c:rich>
          </c:tx>
          <c:overlay val="0"/>
        </c:title>
        <c:numFmt formatCode="0" sourceLinked="0"/>
        <c:majorTickMark val="out"/>
        <c:minorTickMark val="none"/>
        <c:tickLblPos val="nextTo"/>
        <c:txPr>
          <a:bodyPr/>
          <a:lstStyle/>
          <a:p>
            <a:pPr>
              <a:defRPr sz="2000">
                <a:latin typeface="Times New Roman"/>
                <a:cs typeface="Times New Roman"/>
              </a:defRPr>
            </a:pPr>
            <a:endParaRPr lang="en-US"/>
          </a:p>
        </c:txPr>
        <c:crossAx val="1939615912"/>
        <c:crosses val="autoZero"/>
        <c:crossBetween val="midCat"/>
      </c:valAx>
      <c:spPr>
        <a:ln>
          <a:solidFill>
            <a:schemeClr val="tx1">
              <a:lumMod val="50000"/>
              <a:lumOff val="50000"/>
            </a:schemeClr>
          </a:solidFill>
        </a:ln>
      </c:spPr>
    </c:plotArea>
    <c:plotVisOnly val="1"/>
    <c:dispBlanksAs val="gap"/>
    <c:showDLblsOverMax val="0"/>
  </c:chart>
  <c:spPr>
    <a:effectLst/>
  </c:sp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444500</xdr:colOff>
      <xdr:row>0</xdr:row>
      <xdr:rowOff>107950</xdr:rowOff>
    </xdr:from>
    <xdr:to>
      <xdr:col>15</xdr:col>
      <xdr:colOff>482600</xdr:colOff>
      <xdr:row>34</xdr:row>
      <xdr:rowOff>50800</xdr:rowOff>
    </xdr:to>
    <xdr:graphicFrame macro="">
      <xdr:nvGraphicFramePr>
        <xdr:cNvPr id="2" name="Chart 1">
          <a:extLst>
            <a:ext uri="{FF2B5EF4-FFF2-40B4-BE49-F238E27FC236}">
              <a16:creationId xmlns:a16="http://schemas.microsoft.com/office/drawing/2014/main" id="{A8C5AC6E-AEC3-634C-83F6-2174B7C682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440266</xdr:colOff>
      <xdr:row>35</xdr:row>
      <xdr:rowOff>194733</xdr:rowOff>
    </xdr:from>
    <xdr:to>
      <xdr:col>15</xdr:col>
      <xdr:colOff>478366</xdr:colOff>
      <xdr:row>69</xdr:row>
      <xdr:rowOff>137583</xdr:rowOff>
    </xdr:to>
    <xdr:graphicFrame macro="">
      <xdr:nvGraphicFramePr>
        <xdr:cNvPr id="3" name="Chart 2">
          <a:extLst>
            <a:ext uri="{FF2B5EF4-FFF2-40B4-BE49-F238E27FC236}">
              <a16:creationId xmlns:a16="http://schemas.microsoft.com/office/drawing/2014/main" id="{93C83407-AA97-4845-BF9F-1FE308B86A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389466</xdr:colOff>
      <xdr:row>71</xdr:row>
      <xdr:rowOff>118533</xdr:rowOff>
    </xdr:from>
    <xdr:to>
      <xdr:col>15</xdr:col>
      <xdr:colOff>427566</xdr:colOff>
      <xdr:row>105</xdr:row>
      <xdr:rowOff>61383</xdr:rowOff>
    </xdr:to>
    <xdr:graphicFrame macro="">
      <xdr:nvGraphicFramePr>
        <xdr:cNvPr id="4" name="Chart 3">
          <a:extLst>
            <a:ext uri="{FF2B5EF4-FFF2-40B4-BE49-F238E27FC236}">
              <a16:creationId xmlns:a16="http://schemas.microsoft.com/office/drawing/2014/main" id="{2730EF60-6313-904A-A921-2090455F4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431800</xdr:colOff>
      <xdr:row>106</xdr:row>
      <xdr:rowOff>114300</xdr:rowOff>
    </xdr:from>
    <xdr:to>
      <xdr:col>15</xdr:col>
      <xdr:colOff>469900</xdr:colOff>
      <xdr:row>140</xdr:row>
      <xdr:rowOff>57150</xdr:rowOff>
    </xdr:to>
    <xdr:graphicFrame macro="">
      <xdr:nvGraphicFramePr>
        <xdr:cNvPr id="5" name="Chart 4">
          <a:extLst>
            <a:ext uri="{FF2B5EF4-FFF2-40B4-BE49-F238E27FC236}">
              <a16:creationId xmlns:a16="http://schemas.microsoft.com/office/drawing/2014/main" id="{86DAF26C-CEDF-644D-8FE2-C16F24B81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7850-8341-8B4D-A6DB-A9219454005D}">
  <dimension ref="A1:AM334"/>
  <sheetViews>
    <sheetView tabSelected="1" topLeftCell="M312" zoomScaleNormal="100" workbookViewId="0">
      <selection activeCell="AA325" sqref="AA325:AM329"/>
    </sheetView>
  </sheetViews>
  <sheetFormatPr baseColWidth="10" defaultRowHeight="16"/>
  <cols>
    <col min="1" max="1" width="16" customWidth="1"/>
    <col min="5" max="5" width="11.5" bestFit="1" customWidth="1"/>
    <col min="7" max="7" width="12.83203125" bestFit="1" customWidth="1"/>
    <col min="10" max="10" width="14" style="4" customWidth="1"/>
    <col min="11" max="11" width="12.1640625" bestFit="1" customWidth="1"/>
    <col min="12" max="12" width="11.83203125" bestFit="1" customWidth="1"/>
    <col min="13" max="13" width="11.83203125" style="111" customWidth="1"/>
    <col min="15" max="15" width="12.6640625" customWidth="1"/>
    <col min="21" max="21" width="11.5" bestFit="1" customWidth="1"/>
    <col min="22" max="22" width="13.1640625" customWidth="1"/>
    <col min="24" max="24" width="12" bestFit="1" customWidth="1"/>
    <col min="27" max="27" width="16.5" customWidth="1"/>
    <col min="28" max="28" width="11.83203125" bestFit="1" customWidth="1"/>
    <col min="29" max="30" width="11.5" bestFit="1" customWidth="1"/>
    <col min="31" max="36" width="11" bestFit="1" customWidth="1"/>
    <col min="37" max="37" width="12.1640625" customWidth="1"/>
    <col min="38" max="38" width="11.83203125" bestFit="1" customWidth="1"/>
    <col min="39" max="39" width="11" bestFit="1" customWidth="1"/>
  </cols>
  <sheetData>
    <row r="1" spans="1:39" ht="24">
      <c r="A1" s="1" t="s">
        <v>0</v>
      </c>
      <c r="E1" s="2"/>
      <c r="F1" t="s">
        <v>1</v>
      </c>
      <c r="H1" s="3"/>
      <c r="I1" t="s">
        <v>2</v>
      </c>
      <c r="O1" s="1" t="s">
        <v>3</v>
      </c>
      <c r="S1" s="2"/>
      <c r="T1" t="s">
        <v>1</v>
      </c>
      <c r="V1" s="3"/>
      <c r="W1" t="s">
        <v>2</v>
      </c>
      <c r="AA1" s="1" t="s">
        <v>4</v>
      </c>
      <c r="AE1" s="2"/>
      <c r="AF1" t="s">
        <v>1</v>
      </c>
      <c r="AH1" s="3"/>
      <c r="AI1" t="s">
        <v>5</v>
      </c>
    </row>
    <row r="2" spans="1:39" ht="24">
      <c r="A2" s="1" t="s">
        <v>6</v>
      </c>
      <c r="O2" s="1" t="s">
        <v>6</v>
      </c>
      <c r="AA2" s="1" t="s">
        <v>6</v>
      </c>
    </row>
    <row r="3" spans="1:39" ht="24">
      <c r="A3" s="1"/>
      <c r="O3" s="1"/>
      <c r="AA3" s="1"/>
    </row>
    <row r="4" spans="1:39" ht="21">
      <c r="A4" s="191" t="s">
        <v>7</v>
      </c>
      <c r="B4" s="191"/>
      <c r="C4" s="191"/>
      <c r="D4" s="191"/>
      <c r="E4" s="191"/>
      <c r="F4" s="191"/>
      <c r="G4" s="191"/>
      <c r="H4" s="191"/>
      <c r="I4" s="191"/>
      <c r="J4" s="191"/>
      <c r="K4" s="191"/>
      <c r="L4" s="5"/>
      <c r="M4" s="117"/>
      <c r="N4" s="5"/>
      <c r="O4" s="191" t="s">
        <v>7</v>
      </c>
      <c r="P4" s="191"/>
      <c r="Q4" s="191"/>
      <c r="R4" s="191"/>
      <c r="S4" s="191"/>
      <c r="T4" s="191"/>
      <c r="U4" s="191"/>
      <c r="V4" s="191"/>
      <c r="W4" s="191"/>
      <c r="X4" s="191"/>
      <c r="AA4" s="191" t="s">
        <v>7</v>
      </c>
      <c r="AB4" s="191"/>
      <c r="AC4" s="191"/>
      <c r="AD4" s="191"/>
      <c r="AE4" s="191"/>
      <c r="AF4" s="191"/>
      <c r="AG4" s="191"/>
      <c r="AH4" s="191"/>
      <c r="AI4" s="191"/>
      <c r="AJ4" s="191"/>
      <c r="AK4" s="191"/>
      <c r="AL4" s="5"/>
      <c r="AM4" s="5"/>
    </row>
    <row r="5" spans="1:39" ht="21">
      <c r="A5" s="5"/>
      <c r="B5" s="5"/>
      <c r="C5" s="5"/>
      <c r="D5" s="5"/>
      <c r="E5" s="5"/>
      <c r="F5" s="5"/>
      <c r="G5" s="5"/>
      <c r="H5" s="5"/>
      <c r="I5" s="5"/>
      <c r="K5" s="5"/>
      <c r="L5" s="5"/>
      <c r="M5" s="117"/>
      <c r="N5" s="5"/>
      <c r="O5" s="5"/>
      <c r="P5" s="5"/>
      <c r="Q5" s="5"/>
      <c r="R5" s="5"/>
      <c r="S5" s="5"/>
      <c r="T5" s="5"/>
      <c r="U5" s="5"/>
      <c r="V5" s="5"/>
      <c r="W5" s="5"/>
      <c r="X5" s="5"/>
      <c r="AA5" s="5"/>
      <c r="AB5" s="5"/>
      <c r="AC5" s="5"/>
      <c r="AD5" s="5"/>
      <c r="AE5" s="5"/>
      <c r="AF5" s="5"/>
      <c r="AG5" s="5"/>
      <c r="AH5" s="5"/>
      <c r="AI5" s="5"/>
      <c r="AJ5" s="5"/>
      <c r="AK5" s="5"/>
      <c r="AL5" s="5"/>
      <c r="AM5" s="5"/>
    </row>
    <row r="6" spans="1:39" ht="17" thickBot="1">
      <c r="A6" s="188" t="s">
        <v>8</v>
      </c>
      <c r="B6" s="188"/>
      <c r="C6" s="188"/>
      <c r="D6" s="188"/>
      <c r="E6" s="188"/>
      <c r="F6" s="188"/>
      <c r="G6" s="188"/>
      <c r="H6" s="188"/>
      <c r="I6" s="188"/>
      <c r="J6" s="188"/>
      <c r="K6" s="188"/>
      <c r="L6" s="6"/>
      <c r="M6" s="112"/>
      <c r="O6" s="188" t="s">
        <v>8</v>
      </c>
      <c r="P6" s="188"/>
      <c r="Q6" s="188"/>
      <c r="R6" s="188"/>
      <c r="S6" s="188"/>
      <c r="T6" s="188"/>
      <c r="U6" s="188"/>
      <c r="V6" s="188"/>
      <c r="W6" s="188"/>
      <c r="X6" s="190"/>
      <c r="AA6" s="188" t="s">
        <v>8</v>
      </c>
      <c r="AB6" s="188"/>
      <c r="AC6" s="188"/>
      <c r="AD6" s="188"/>
      <c r="AE6" s="188"/>
      <c r="AF6" s="188"/>
      <c r="AG6" s="188"/>
      <c r="AH6" s="188"/>
      <c r="AI6" s="188"/>
      <c r="AJ6" s="188"/>
      <c r="AK6" s="188"/>
      <c r="AL6" s="6"/>
    </row>
    <row r="7" spans="1:39" ht="91" thickBot="1">
      <c r="A7" s="8" t="s">
        <v>9</v>
      </c>
      <c r="B7" s="9" t="s">
        <v>10</v>
      </c>
      <c r="C7" s="9" t="s">
        <v>11</v>
      </c>
      <c r="D7" s="9" t="s">
        <v>12</v>
      </c>
      <c r="E7" s="9" t="s">
        <v>13</v>
      </c>
      <c r="F7" s="9" t="s">
        <v>14</v>
      </c>
      <c r="G7" s="9" t="s">
        <v>15</v>
      </c>
      <c r="H7" s="9" t="s">
        <v>16</v>
      </c>
      <c r="I7" s="10" t="s">
        <v>17</v>
      </c>
      <c r="J7" s="11" t="s">
        <v>18</v>
      </c>
      <c r="K7" s="12" t="s">
        <v>19</v>
      </c>
      <c r="L7" s="13"/>
      <c r="M7" s="114"/>
      <c r="O7" s="8" t="s">
        <v>20</v>
      </c>
      <c r="P7" s="9" t="s">
        <v>10</v>
      </c>
      <c r="Q7" s="9" t="s">
        <v>11</v>
      </c>
      <c r="R7" s="9" t="s">
        <v>21</v>
      </c>
      <c r="S7" s="9" t="s">
        <v>22</v>
      </c>
      <c r="T7" s="9" t="s">
        <v>16</v>
      </c>
      <c r="U7" s="10" t="s">
        <v>17</v>
      </c>
      <c r="V7" s="15" t="s">
        <v>18</v>
      </c>
      <c r="W7" s="12" t="s">
        <v>19</v>
      </c>
      <c r="X7" s="16"/>
      <c r="AA7" s="8" t="s">
        <v>23</v>
      </c>
      <c r="AB7" s="17" t="s">
        <v>24</v>
      </c>
      <c r="AC7" s="17" t="s">
        <v>25</v>
      </c>
      <c r="AD7" s="17" t="s">
        <v>26</v>
      </c>
      <c r="AE7" s="17" t="s">
        <v>27</v>
      </c>
      <c r="AF7" s="17" t="s">
        <v>28</v>
      </c>
      <c r="AG7" s="17" t="s">
        <v>29</v>
      </c>
      <c r="AH7" s="17" t="s">
        <v>30</v>
      </c>
      <c r="AI7" s="17" t="s">
        <v>16</v>
      </c>
      <c r="AJ7" s="18" t="s">
        <v>17</v>
      </c>
      <c r="AK7" s="18" t="s">
        <v>18</v>
      </c>
      <c r="AL7" s="19" t="s">
        <v>19</v>
      </c>
    </row>
    <row r="8" spans="1:39" ht="56">
      <c r="A8" s="20" t="s">
        <v>10</v>
      </c>
      <c r="B8" s="13"/>
      <c r="C8" s="13"/>
      <c r="D8" s="13"/>
      <c r="E8" s="13"/>
      <c r="F8" s="13">
        <v>3</v>
      </c>
      <c r="G8" s="13">
        <v>5</v>
      </c>
      <c r="H8" s="13"/>
      <c r="I8" s="21">
        <f t="shared" ref="I8:I15" si="0">SUM(B8:H8)</f>
        <v>8</v>
      </c>
      <c r="J8" s="22">
        <f>1-K8</f>
        <v>1</v>
      </c>
      <c r="K8" s="23">
        <f>0/8</f>
        <v>0</v>
      </c>
      <c r="L8" s="21"/>
      <c r="M8" s="115"/>
      <c r="O8" s="20" t="s">
        <v>10</v>
      </c>
      <c r="P8" s="13"/>
      <c r="Q8" s="13"/>
      <c r="R8" s="13"/>
      <c r="S8" s="13">
        <v>8</v>
      </c>
      <c r="T8" s="13"/>
      <c r="U8" s="21">
        <f t="shared" ref="U8:U13" si="1">SUM(P8:T8)</f>
        <v>8</v>
      </c>
      <c r="V8" s="25">
        <f>1-W8</f>
        <v>1</v>
      </c>
      <c r="W8" s="23">
        <f>P8/U8</f>
        <v>0</v>
      </c>
      <c r="X8" s="21"/>
      <c r="AA8" s="26" t="s">
        <v>24</v>
      </c>
      <c r="AB8" s="27">
        <v>4</v>
      </c>
      <c r="AC8" s="28">
        <v>3</v>
      </c>
      <c r="AD8" s="28"/>
      <c r="AE8" s="28">
        <v>1</v>
      </c>
      <c r="AF8" s="28"/>
      <c r="AG8" s="28"/>
      <c r="AH8" s="28"/>
      <c r="AJ8" s="29">
        <f t="shared" ref="AJ8:AJ14" si="2">SUM(AB8:AH8)</f>
        <v>8</v>
      </c>
      <c r="AK8" s="30">
        <f>1-AL8</f>
        <v>0.5</v>
      </c>
      <c r="AL8" s="31">
        <f>AB8/AJ8</f>
        <v>0.5</v>
      </c>
    </row>
    <row r="9" spans="1:39" ht="45">
      <c r="A9" s="20" t="s">
        <v>11</v>
      </c>
      <c r="B9" s="13"/>
      <c r="C9" s="13"/>
      <c r="D9" s="13"/>
      <c r="E9" s="13"/>
      <c r="F9" s="13">
        <v>3</v>
      </c>
      <c r="G9" s="13">
        <v>18</v>
      </c>
      <c r="H9" s="13"/>
      <c r="I9" s="21">
        <f t="shared" si="0"/>
        <v>21</v>
      </c>
      <c r="J9" s="22">
        <f t="shared" ref="J9:J14" si="3">1-K9</f>
        <v>1</v>
      </c>
      <c r="K9" s="23">
        <f>C9/I9</f>
        <v>0</v>
      </c>
      <c r="L9" s="21"/>
      <c r="M9" s="115"/>
      <c r="O9" s="20" t="s">
        <v>11</v>
      </c>
      <c r="P9" s="13"/>
      <c r="Q9" s="13"/>
      <c r="R9" s="13"/>
      <c r="S9" s="13"/>
      <c r="T9" s="13"/>
      <c r="U9" s="21">
        <f t="shared" si="1"/>
        <v>0</v>
      </c>
      <c r="V9" s="25">
        <f t="shared" ref="V9:V12" si="4">1-W9</f>
        <v>0</v>
      </c>
      <c r="W9" s="23">
        <v>1</v>
      </c>
      <c r="X9" s="21"/>
      <c r="AA9" s="32" t="s">
        <v>25</v>
      </c>
      <c r="AB9" s="16"/>
      <c r="AC9" s="13">
        <v>7</v>
      </c>
      <c r="AD9" s="13">
        <v>3</v>
      </c>
      <c r="AE9" s="13"/>
      <c r="AF9" s="13"/>
      <c r="AG9" s="13"/>
      <c r="AH9" s="13"/>
      <c r="AJ9" s="21">
        <f t="shared" si="2"/>
        <v>10</v>
      </c>
      <c r="AK9" s="25">
        <f>1-AL9</f>
        <v>0.30000000000000004</v>
      </c>
      <c r="AL9" s="23">
        <f>AC9/AJ9</f>
        <v>0.7</v>
      </c>
    </row>
    <row r="10" spans="1:39" ht="45">
      <c r="A10" s="20" t="s">
        <v>12</v>
      </c>
      <c r="B10" s="13"/>
      <c r="C10" s="13"/>
      <c r="D10" s="13"/>
      <c r="E10" s="13"/>
      <c r="F10" s="13"/>
      <c r="G10" s="13"/>
      <c r="H10" s="13"/>
      <c r="I10" s="21">
        <f t="shared" si="0"/>
        <v>0</v>
      </c>
      <c r="J10" s="22">
        <f t="shared" si="3"/>
        <v>0</v>
      </c>
      <c r="K10" s="23">
        <v>1</v>
      </c>
      <c r="L10" s="21"/>
      <c r="M10" s="115"/>
      <c r="O10" s="20" t="s">
        <v>21</v>
      </c>
      <c r="P10" s="13"/>
      <c r="Q10" s="13"/>
      <c r="R10" s="13">
        <v>5</v>
      </c>
      <c r="S10" s="13">
        <v>93</v>
      </c>
      <c r="T10" s="13"/>
      <c r="U10" s="21">
        <f t="shared" si="1"/>
        <v>98</v>
      </c>
      <c r="V10" s="25">
        <f t="shared" si="4"/>
        <v>0.94897959183673475</v>
      </c>
      <c r="W10" s="23">
        <f>R10/U10</f>
        <v>5.1020408163265307E-2</v>
      </c>
      <c r="X10" s="21"/>
      <c r="AA10" s="32" t="s">
        <v>26</v>
      </c>
      <c r="AB10" s="16">
        <v>15</v>
      </c>
      <c r="AC10" s="13">
        <v>2</v>
      </c>
      <c r="AD10" s="13">
        <v>10</v>
      </c>
      <c r="AE10" s="13"/>
      <c r="AF10" s="13"/>
      <c r="AG10" s="13"/>
      <c r="AH10" s="13"/>
      <c r="AJ10" s="21">
        <f t="shared" si="2"/>
        <v>27</v>
      </c>
      <c r="AK10" s="25">
        <f t="shared" ref="AK10:AK15" si="5">1-AL10</f>
        <v>0.62962962962962965</v>
      </c>
      <c r="AL10" s="23">
        <f>AD10/AJ10</f>
        <v>0.37037037037037035</v>
      </c>
    </row>
    <row r="11" spans="1:39" ht="42">
      <c r="A11" s="20" t="s">
        <v>13</v>
      </c>
      <c r="B11" s="13"/>
      <c r="C11" s="13"/>
      <c r="D11" s="13"/>
      <c r="E11" s="13">
        <v>5</v>
      </c>
      <c r="F11" s="13">
        <v>8</v>
      </c>
      <c r="G11" s="13">
        <v>64</v>
      </c>
      <c r="H11" s="13"/>
      <c r="I11" s="21">
        <f t="shared" si="0"/>
        <v>77</v>
      </c>
      <c r="J11" s="22">
        <f t="shared" si="3"/>
        <v>0.93506493506493504</v>
      </c>
      <c r="K11" s="23">
        <f>E11/I11</f>
        <v>6.4935064935064929E-2</v>
      </c>
      <c r="L11" s="21"/>
      <c r="M11" s="115"/>
      <c r="O11" s="20" t="s">
        <v>22</v>
      </c>
      <c r="P11" s="13"/>
      <c r="Q11" s="13"/>
      <c r="R11" s="13">
        <v>1</v>
      </c>
      <c r="S11" s="13">
        <v>2</v>
      </c>
      <c r="T11" s="13"/>
      <c r="U11" s="21">
        <f t="shared" si="1"/>
        <v>3</v>
      </c>
      <c r="V11" s="25">
        <f t="shared" si="4"/>
        <v>0.33333333333333337</v>
      </c>
      <c r="W11" s="23">
        <f>S11/U11</f>
        <v>0.66666666666666663</v>
      </c>
      <c r="X11" s="21"/>
      <c r="AA11" s="32" t="s">
        <v>27</v>
      </c>
      <c r="AB11" s="16">
        <v>46</v>
      </c>
      <c r="AC11" s="13">
        <v>3</v>
      </c>
      <c r="AD11" s="13"/>
      <c r="AE11" s="13">
        <v>5</v>
      </c>
      <c r="AF11" s="13"/>
      <c r="AG11" s="13"/>
      <c r="AH11" s="13"/>
      <c r="AJ11" s="21">
        <f t="shared" si="2"/>
        <v>54</v>
      </c>
      <c r="AK11" s="25">
        <f t="shared" si="5"/>
        <v>0.90740740740740744</v>
      </c>
      <c r="AL11" s="23">
        <f>AE11/AJ11</f>
        <v>9.2592592592592587E-2</v>
      </c>
    </row>
    <row r="12" spans="1:39" ht="45">
      <c r="A12" s="20" t="s">
        <v>14</v>
      </c>
      <c r="B12" s="13"/>
      <c r="C12" s="13"/>
      <c r="D12" s="13"/>
      <c r="E12" s="13">
        <v>1</v>
      </c>
      <c r="F12" s="13"/>
      <c r="G12" s="13">
        <v>2</v>
      </c>
      <c r="H12" s="13"/>
      <c r="I12" s="21">
        <f t="shared" si="0"/>
        <v>3</v>
      </c>
      <c r="J12" s="22">
        <f t="shared" si="3"/>
        <v>1</v>
      </c>
      <c r="K12" s="23">
        <f>F12/I12</f>
        <v>0</v>
      </c>
      <c r="L12" s="21"/>
      <c r="M12" s="115"/>
      <c r="O12" s="20" t="s">
        <v>16</v>
      </c>
      <c r="P12" s="13"/>
      <c r="Q12" s="13"/>
      <c r="R12" s="13">
        <v>1</v>
      </c>
      <c r="S12" s="13"/>
      <c r="T12" s="13"/>
      <c r="U12" s="21">
        <f t="shared" si="1"/>
        <v>1</v>
      </c>
      <c r="V12" s="25">
        <f t="shared" si="4"/>
        <v>1</v>
      </c>
      <c r="W12" s="23">
        <f>T12/U12</f>
        <v>0</v>
      </c>
      <c r="X12" s="21"/>
      <c r="AA12" s="32" t="s">
        <v>28</v>
      </c>
      <c r="AB12" s="16"/>
      <c r="AC12" s="13"/>
      <c r="AD12" s="13"/>
      <c r="AE12" s="13">
        <v>2</v>
      </c>
      <c r="AF12" s="13"/>
      <c r="AG12" s="13"/>
      <c r="AH12" s="13"/>
      <c r="AJ12" s="21">
        <f t="shared" si="2"/>
        <v>2</v>
      </c>
      <c r="AK12" s="25">
        <f t="shared" si="5"/>
        <v>1</v>
      </c>
      <c r="AL12" s="23">
        <f>AF12/AJ12</f>
        <v>0</v>
      </c>
    </row>
    <row r="13" spans="1:39" ht="30">
      <c r="A13" s="20" t="s">
        <v>15</v>
      </c>
      <c r="B13" s="13"/>
      <c r="C13" s="13"/>
      <c r="D13" s="13"/>
      <c r="E13" s="13"/>
      <c r="F13" s="13"/>
      <c r="G13" s="13"/>
      <c r="H13" s="13"/>
      <c r="I13" s="21">
        <f t="shared" si="0"/>
        <v>0</v>
      </c>
      <c r="J13" s="22">
        <f t="shared" si="3"/>
        <v>0</v>
      </c>
      <c r="K13" s="23">
        <v>1</v>
      </c>
      <c r="L13" s="21"/>
      <c r="M13" s="115"/>
      <c r="O13" s="33" t="s">
        <v>17</v>
      </c>
      <c r="P13" s="21">
        <f>SUM(P8:P12)</f>
        <v>0</v>
      </c>
      <c r="Q13" s="21">
        <f>SUM(Q8:Q12)</f>
        <v>0</v>
      </c>
      <c r="R13" s="21">
        <f>SUM(R8:R12)</f>
        <v>7</v>
      </c>
      <c r="S13" s="21">
        <f>SUM(S8:S12)</f>
        <v>103</v>
      </c>
      <c r="T13" s="21">
        <f>SUM(T8:T12)</f>
        <v>0</v>
      </c>
      <c r="U13" s="21">
        <f t="shared" si="1"/>
        <v>110</v>
      </c>
      <c r="V13" s="21"/>
      <c r="W13" s="34"/>
      <c r="X13" s="21"/>
      <c r="AA13" s="32" t="s">
        <v>29</v>
      </c>
      <c r="AB13" s="16">
        <v>1</v>
      </c>
      <c r="AC13" s="13"/>
      <c r="AD13" s="13"/>
      <c r="AE13" s="13"/>
      <c r="AF13" s="13"/>
      <c r="AG13" s="13"/>
      <c r="AH13" s="13"/>
      <c r="AJ13" s="21">
        <f t="shared" si="2"/>
        <v>1</v>
      </c>
      <c r="AK13" s="25">
        <f t="shared" si="5"/>
        <v>1</v>
      </c>
      <c r="AL13" s="23">
        <f>AG13/AJ13</f>
        <v>0</v>
      </c>
    </row>
    <row r="14" spans="1:39" ht="45">
      <c r="A14" s="20" t="s">
        <v>16</v>
      </c>
      <c r="B14" s="13"/>
      <c r="C14" s="13"/>
      <c r="D14" s="13"/>
      <c r="E14" s="13">
        <v>1</v>
      </c>
      <c r="F14" s="13"/>
      <c r="G14" s="13"/>
      <c r="H14" s="13"/>
      <c r="I14" s="21">
        <f t="shared" si="0"/>
        <v>1</v>
      </c>
      <c r="J14" s="22">
        <f t="shared" si="3"/>
        <v>1</v>
      </c>
      <c r="K14" s="23">
        <f>H14/I14</f>
        <v>0</v>
      </c>
      <c r="L14" s="21"/>
      <c r="M14" s="115"/>
      <c r="O14" s="33" t="s">
        <v>31</v>
      </c>
      <c r="P14" s="25">
        <f>1-P15</f>
        <v>0</v>
      </c>
      <c r="Q14" s="25">
        <f t="shared" ref="Q14:T14" si="6">1-Q15</f>
        <v>0</v>
      </c>
      <c r="R14" s="25">
        <f t="shared" si="6"/>
        <v>0.2857142857142857</v>
      </c>
      <c r="S14" s="25">
        <f t="shared" si="6"/>
        <v>0.98058252427184467</v>
      </c>
      <c r="T14" s="25">
        <f t="shared" si="6"/>
        <v>0</v>
      </c>
      <c r="U14" s="13"/>
      <c r="V14" s="35" t="s">
        <v>32</v>
      </c>
      <c r="W14" s="36">
        <f>W19</f>
        <v>-2.0261143628995955E-2</v>
      </c>
      <c r="X14" s="21"/>
      <c r="AA14" s="32" t="s">
        <v>30</v>
      </c>
      <c r="AB14" s="16"/>
      <c r="AC14" s="13"/>
      <c r="AD14" s="13"/>
      <c r="AE14" s="13"/>
      <c r="AF14" s="13"/>
      <c r="AG14" s="13"/>
      <c r="AH14" s="13"/>
      <c r="AJ14" s="21">
        <f t="shared" si="2"/>
        <v>0</v>
      </c>
      <c r="AK14" s="25">
        <f t="shared" si="5"/>
        <v>0</v>
      </c>
      <c r="AL14" s="23">
        <v>1</v>
      </c>
    </row>
    <row r="15" spans="1:39" ht="29" thickBot="1">
      <c r="A15" s="33" t="s">
        <v>17</v>
      </c>
      <c r="B15" s="21">
        <f t="shared" ref="B15:H15" si="7">SUM(B8:B14)</f>
        <v>0</v>
      </c>
      <c r="C15" s="21">
        <f t="shared" si="7"/>
        <v>0</v>
      </c>
      <c r="D15" s="21">
        <f t="shared" si="7"/>
        <v>0</v>
      </c>
      <c r="E15" s="21">
        <f t="shared" si="7"/>
        <v>7</v>
      </c>
      <c r="F15" s="21">
        <f t="shared" si="7"/>
        <v>14</v>
      </c>
      <c r="G15" s="21">
        <f t="shared" si="7"/>
        <v>89</v>
      </c>
      <c r="H15" s="21">
        <f t="shared" si="7"/>
        <v>0</v>
      </c>
      <c r="I15" s="21">
        <f t="shared" si="0"/>
        <v>110</v>
      </c>
      <c r="J15" s="37"/>
      <c r="K15" s="34"/>
      <c r="L15" s="21"/>
      <c r="M15" s="115"/>
      <c r="O15" s="38" t="s">
        <v>33</v>
      </c>
      <c r="P15" s="39">
        <v>1</v>
      </c>
      <c r="Q15" s="40">
        <v>1</v>
      </c>
      <c r="R15" s="40">
        <f>R10/R13</f>
        <v>0.7142857142857143</v>
      </c>
      <c r="S15" s="40">
        <f>S11/S13</f>
        <v>1.9417475728155338E-2</v>
      </c>
      <c r="T15" s="39">
        <v>1</v>
      </c>
      <c r="U15" s="41"/>
      <c r="V15" s="42" t="s">
        <v>34</v>
      </c>
      <c r="W15" s="43">
        <f>X16</f>
        <v>6.363636363636363E-2</v>
      </c>
      <c r="X15" s="44"/>
      <c r="AA15" s="45" t="s">
        <v>16</v>
      </c>
      <c r="AB15" s="16">
        <v>3</v>
      </c>
      <c r="AE15" s="24">
        <v>5</v>
      </c>
      <c r="AJ15" s="21">
        <f>SUM(AB15:AI15)</f>
        <v>8</v>
      </c>
      <c r="AK15" s="25">
        <f t="shared" si="5"/>
        <v>1</v>
      </c>
      <c r="AL15" s="23">
        <f>AI15/AJ15</f>
        <v>0</v>
      </c>
    </row>
    <row r="16" spans="1:39" ht="28">
      <c r="A16" s="33" t="s">
        <v>31</v>
      </c>
      <c r="B16" s="25">
        <f>1-B17</f>
        <v>0</v>
      </c>
      <c r="C16" s="25">
        <f t="shared" ref="C16:H16" si="8">1-C17</f>
        <v>0</v>
      </c>
      <c r="D16" s="25">
        <f t="shared" si="8"/>
        <v>0</v>
      </c>
      <c r="E16" s="25">
        <f t="shared" si="8"/>
        <v>0.2857142857142857</v>
      </c>
      <c r="F16" s="25">
        <f t="shared" si="8"/>
        <v>1</v>
      </c>
      <c r="G16" s="25">
        <f t="shared" si="8"/>
        <v>1</v>
      </c>
      <c r="H16" s="25">
        <f t="shared" si="8"/>
        <v>0</v>
      </c>
      <c r="I16" s="13"/>
      <c r="J16" s="46" t="s">
        <v>32</v>
      </c>
      <c r="K16" s="36">
        <f>K21</f>
        <v>-2.6912058338397402E-3</v>
      </c>
      <c r="L16" s="21"/>
      <c r="M16" s="115"/>
      <c r="O16" s="129" t="s">
        <v>136</v>
      </c>
      <c r="V16" s="4"/>
      <c r="X16" s="50">
        <f>SUM(P8,Q9,R10,S11,T12)/U13</f>
        <v>6.363636363636363E-2</v>
      </c>
      <c r="AA16" s="33" t="s">
        <v>17</v>
      </c>
      <c r="AB16" s="21">
        <f t="shared" ref="AB16:AH16" si="9">SUM(AB8:AB15)</f>
        <v>69</v>
      </c>
      <c r="AC16" s="21">
        <f t="shared" si="9"/>
        <v>15</v>
      </c>
      <c r="AD16" s="21">
        <f t="shared" si="9"/>
        <v>13</v>
      </c>
      <c r="AE16" s="21">
        <f t="shared" si="9"/>
        <v>13</v>
      </c>
      <c r="AF16" s="21">
        <f t="shared" si="9"/>
        <v>0</v>
      </c>
      <c r="AG16" s="21">
        <f t="shared" si="9"/>
        <v>0</v>
      </c>
      <c r="AH16" s="21">
        <f t="shared" si="9"/>
        <v>0</v>
      </c>
      <c r="AI16" s="21">
        <f>SUM(AI8:AI15)</f>
        <v>0</v>
      </c>
      <c r="AJ16" s="21">
        <f>SUM(AB16:AI16)</f>
        <v>110</v>
      </c>
      <c r="AL16" s="51"/>
    </row>
    <row r="17" spans="1:39" ht="29" thickBot="1">
      <c r="A17" s="38" t="s">
        <v>33</v>
      </c>
      <c r="B17" s="39">
        <v>1</v>
      </c>
      <c r="C17" s="40">
        <v>1</v>
      </c>
      <c r="D17" s="40">
        <v>1</v>
      </c>
      <c r="E17" s="40">
        <f>E11/E15</f>
        <v>0.7142857142857143</v>
      </c>
      <c r="F17" s="40">
        <f>F12/F15</f>
        <v>0</v>
      </c>
      <c r="G17" s="40">
        <f>G13/G15</f>
        <v>0</v>
      </c>
      <c r="H17" s="39">
        <v>1</v>
      </c>
      <c r="I17" s="41"/>
      <c r="J17" s="52" t="s">
        <v>34</v>
      </c>
      <c r="K17" s="43">
        <f>L18</f>
        <v>4.5454545454545456E-2</v>
      </c>
      <c r="L17" s="44"/>
      <c r="M17" s="116"/>
      <c r="O17" s="141" t="s">
        <v>135</v>
      </c>
      <c r="P17" s="122">
        <f>P13*U8</f>
        <v>0</v>
      </c>
      <c r="Q17" s="122">
        <f>Q13*U9</f>
        <v>0</v>
      </c>
      <c r="R17" s="122">
        <f>R13*U10</f>
        <v>686</v>
      </c>
      <c r="S17" s="122">
        <f>S13*U11</f>
        <v>309</v>
      </c>
      <c r="T17" s="122">
        <f>T13*U12</f>
        <v>0</v>
      </c>
      <c r="U17" s="123">
        <f>SUM(N17:T17)</f>
        <v>995</v>
      </c>
      <c r="V17" s="128"/>
      <c r="W17" s="123"/>
      <c r="X17" s="44"/>
      <c r="AA17" s="33" t="s">
        <v>35</v>
      </c>
      <c r="AB17" s="53">
        <f>1-AB18</f>
        <v>0.94202898550724634</v>
      </c>
      <c r="AC17" s="54">
        <f>1-AC18</f>
        <v>0.53333333333333333</v>
      </c>
      <c r="AD17" s="54">
        <f t="shared" ref="AD17:AI17" si="10">1-AD18</f>
        <v>0.23076923076923073</v>
      </c>
      <c r="AE17" s="54">
        <f t="shared" si="10"/>
        <v>0.61538461538461542</v>
      </c>
      <c r="AF17" s="54">
        <f t="shared" si="10"/>
        <v>0</v>
      </c>
      <c r="AG17" s="54">
        <f t="shared" si="10"/>
        <v>0</v>
      </c>
      <c r="AH17" s="55">
        <f t="shared" si="10"/>
        <v>0</v>
      </c>
      <c r="AI17" s="55">
        <f t="shared" si="10"/>
        <v>0</v>
      </c>
      <c r="AK17" s="35" t="s">
        <v>32</v>
      </c>
      <c r="AL17" s="36">
        <f>AL22</f>
        <v>0.10681488641855968</v>
      </c>
    </row>
    <row r="18" spans="1:39" ht="33" thickBot="1">
      <c r="A18" s="129" t="s">
        <v>136</v>
      </c>
      <c r="L18" s="50">
        <f>SUM(B8,C9,D10,E11,F12,G13,H14)/I15</f>
        <v>4.5454545454545456E-2</v>
      </c>
      <c r="M18" s="113"/>
      <c r="O18" s="142" t="s">
        <v>134</v>
      </c>
      <c r="P18" s="124">
        <f>(P13*$U8)+(P13*$U9)+(P13*$U10)+(P13*$U11)+(P13*$U12)</f>
        <v>0</v>
      </c>
      <c r="Q18" s="124">
        <f t="shared" ref="Q18:T18" si="11">(Q13*$U8)+(Q13*$U9)+(Q13*$U10)+(Q13*$U11)+(Q13*$U12)</f>
        <v>0</v>
      </c>
      <c r="R18" s="124">
        <f t="shared" si="11"/>
        <v>770</v>
      </c>
      <c r="S18" s="124">
        <f t="shared" si="11"/>
        <v>11330</v>
      </c>
      <c r="T18" s="124">
        <f t="shared" si="11"/>
        <v>0</v>
      </c>
      <c r="U18" s="125">
        <f>SUM(N18:T18)</f>
        <v>12100</v>
      </c>
      <c r="V18" s="127"/>
      <c r="W18" s="125" t="s">
        <v>32</v>
      </c>
      <c r="X18" s="44"/>
      <c r="AA18" s="38" t="s">
        <v>33</v>
      </c>
      <c r="AB18" s="56">
        <f>AB8/AB16</f>
        <v>5.7971014492753624E-2</v>
      </c>
      <c r="AC18" s="57">
        <f>AC9/AC16</f>
        <v>0.46666666666666667</v>
      </c>
      <c r="AD18" s="57">
        <f>AD10/AD16</f>
        <v>0.76923076923076927</v>
      </c>
      <c r="AE18" s="57">
        <f>AE11/AE16</f>
        <v>0.38461538461538464</v>
      </c>
      <c r="AF18" s="57">
        <v>1</v>
      </c>
      <c r="AG18" s="57">
        <v>1</v>
      </c>
      <c r="AH18" s="57">
        <v>1</v>
      </c>
      <c r="AI18" s="57">
        <v>1</v>
      </c>
      <c r="AJ18" s="41"/>
      <c r="AK18" s="42" t="s">
        <v>34</v>
      </c>
      <c r="AL18" s="43">
        <f>AM19</f>
        <v>0.23636363636363636</v>
      </c>
    </row>
    <row r="19" spans="1:39" ht="22" thickTop="1">
      <c r="A19" s="130" t="s">
        <v>135</v>
      </c>
      <c r="B19" s="122">
        <f>B15*I8</f>
        <v>0</v>
      </c>
      <c r="C19" s="122">
        <f>C15*I9</f>
        <v>0</v>
      </c>
      <c r="D19" s="122">
        <f>D15*I10</f>
        <v>0</v>
      </c>
      <c r="E19" s="122">
        <f>E15*I11</f>
        <v>539</v>
      </c>
      <c r="F19" s="122">
        <f>F15*I12</f>
        <v>42</v>
      </c>
      <c r="G19" s="122">
        <f>G15*I13</f>
        <v>0</v>
      </c>
      <c r="H19" s="122">
        <f>H15*I14</f>
        <v>0</v>
      </c>
      <c r="I19" s="123">
        <f>SUM(B19:H19)</f>
        <v>581</v>
      </c>
      <c r="J19" s="128"/>
      <c r="K19" s="123"/>
      <c r="L19" s="44"/>
      <c r="M19" s="116"/>
      <c r="O19" s="13"/>
      <c r="P19" s="115"/>
      <c r="Q19" s="115"/>
      <c r="R19" s="115"/>
      <c r="S19" s="115"/>
      <c r="T19" s="115"/>
      <c r="U19" t="s">
        <v>110</v>
      </c>
      <c r="V19" s="102">
        <f>X16</f>
        <v>6.363636363636363E-2</v>
      </c>
      <c r="W19" s="104">
        <f>(V19-V20)/(1-V20)</f>
        <v>-2.0261143628995955E-2</v>
      </c>
      <c r="X19" s="44"/>
      <c r="AA19" s="129" t="s">
        <v>136</v>
      </c>
      <c r="AK19" s="4"/>
      <c r="AM19" s="50">
        <f>SUM(AB8,AC9,AD10,AE11,AF12,AG13,AH14,AI15)/AJ16</f>
        <v>0.23636363636363636</v>
      </c>
    </row>
    <row r="20" spans="1:39" ht="29" thickBot="1">
      <c r="A20" s="131" t="s">
        <v>134</v>
      </c>
      <c r="B20" s="124">
        <f>(B15*$I8)+(B15*$I9)+(B15*$I10)+(B15*$I11)+(B15*$I12)+(B15*$I13)+(B15*$I14)</f>
        <v>0</v>
      </c>
      <c r="C20" s="124">
        <f>(C15*$I8)+(C15*$I9)+(C15*$I10)+(C15*$I11)+(C15*$I12)+(C15*$I13)+(C15*$I14)</f>
        <v>0</v>
      </c>
      <c r="D20" s="124">
        <f>(D15*$I8)+(D15*$I9)+(D15*$I10)+(D15*$I11)+(D15*$I12)+(D15*$I13)+(D15*$I14)</f>
        <v>0</v>
      </c>
      <c r="E20" s="124">
        <f>(E15*$I8)+(E15*$I9)+(E15*$I10)+(E15*$I11)+(E15*$I12)+(E15*$I13)+(E15*$I14)</f>
        <v>770</v>
      </c>
      <c r="F20" s="124">
        <f>(F15*$I8)+(F15*$I9)+(F15*$I10)+(F15*$I11)+(F15*$I12)+(F15*$I13)+(F15*$I14)</f>
        <v>1540</v>
      </c>
      <c r="G20" s="124">
        <f>(G15*$I8)+(G15*$I9)+(G15*$I10)+(G15*$I11)+(G15*$I12)+(G15*$I13)+(G15*$I14)</f>
        <v>9790</v>
      </c>
      <c r="H20" s="124">
        <f>(H15*$I8)+(H15*$I9)+(H15*$I10)+(H15*$I11)+(H15*$I12)+(H15*$I13)+(H15*$I14)</f>
        <v>0</v>
      </c>
      <c r="I20" s="125">
        <f>SUM(B20:H20)</f>
        <v>12100</v>
      </c>
      <c r="J20" s="127"/>
      <c r="K20" s="125" t="s">
        <v>32</v>
      </c>
      <c r="L20" s="44"/>
      <c r="M20" s="116"/>
      <c r="O20" s="95"/>
      <c r="P20" s="115"/>
      <c r="Q20" s="115"/>
      <c r="R20" s="115"/>
      <c r="S20" s="115"/>
      <c r="T20" s="115"/>
      <c r="U20" t="s">
        <v>111</v>
      </c>
      <c r="V20" s="103">
        <f>U17/U18</f>
        <v>8.2231404958677687E-2</v>
      </c>
      <c r="W20" s="101"/>
      <c r="AA20" s="141" t="s">
        <v>135</v>
      </c>
      <c r="AB20" s="122">
        <f>AB16*AJ8</f>
        <v>552</v>
      </c>
      <c r="AC20" s="122">
        <f>AC16*AJ9</f>
        <v>150</v>
      </c>
      <c r="AD20" s="122">
        <f>AD16*AJ10</f>
        <v>351</v>
      </c>
      <c r="AE20" s="122">
        <f>AE16*AJ11</f>
        <v>702</v>
      </c>
      <c r="AF20" s="122">
        <f>AF16*AJ12</f>
        <v>0</v>
      </c>
      <c r="AG20" s="122">
        <f>AG16*AJ13</f>
        <v>0</v>
      </c>
      <c r="AH20" s="122">
        <f>AH16*AJ14</f>
        <v>0</v>
      </c>
      <c r="AI20" s="122">
        <f>AI16*AJ15</f>
        <v>0</v>
      </c>
      <c r="AJ20" s="123">
        <f>SUM(AB20:AI20)</f>
        <v>1755</v>
      </c>
      <c r="AK20" s="128"/>
      <c r="AL20" s="123"/>
      <c r="AM20" s="44"/>
    </row>
    <row r="21" spans="1:39" ht="30" thickTop="1" thickBot="1">
      <c r="A21" s="13"/>
      <c r="B21" s="115"/>
      <c r="C21" s="115"/>
      <c r="D21" s="115"/>
      <c r="E21" s="115"/>
      <c r="F21" s="115"/>
      <c r="G21" s="115"/>
      <c r="H21" s="115"/>
      <c r="I21" t="s">
        <v>110</v>
      </c>
      <c r="J21" s="102">
        <f>L18</f>
        <v>4.5454545454545456E-2</v>
      </c>
      <c r="K21" s="104">
        <f>(J21-J22)/(1-J22)</f>
        <v>-2.6912058338397402E-3</v>
      </c>
      <c r="L21" s="44"/>
      <c r="M21" s="116"/>
      <c r="O21" s="24"/>
      <c r="P21" s="100"/>
      <c r="Q21" s="100"/>
      <c r="R21" s="100"/>
      <c r="S21" s="100"/>
      <c r="T21" s="100"/>
      <c r="U21" s="111"/>
      <c r="V21" s="132"/>
      <c r="W21" s="133"/>
      <c r="X21" s="24"/>
      <c r="AA21" s="142" t="s">
        <v>134</v>
      </c>
      <c r="AB21" s="124">
        <f>(AB16*$AJ8)+(AB16*$AJ9)+(AB16*$AJ10)+(AB16*$AJ11)+(AB16*$AJ12)+(AB16*$AJ13)+(AB16*$AJ14)+(AB16*$AJ15)</f>
        <v>7590</v>
      </c>
      <c r="AC21" s="124">
        <f t="shared" ref="AC21:AI21" si="12">(AC16*$AJ8)+(AC16*$AJ9)+(AC16*$AJ10)+(AC16*$AJ11)+(AC16*$AJ12)+(AC16*$AJ13)+(AC16*$AJ14)+(AC16*$AJ15)</f>
        <v>1650</v>
      </c>
      <c r="AD21" s="124">
        <f t="shared" si="12"/>
        <v>1430</v>
      </c>
      <c r="AE21" s="124">
        <f t="shared" si="12"/>
        <v>1430</v>
      </c>
      <c r="AF21" s="124">
        <f t="shared" si="12"/>
        <v>0</v>
      </c>
      <c r="AG21" s="124">
        <f t="shared" si="12"/>
        <v>0</v>
      </c>
      <c r="AH21" s="124">
        <f t="shared" si="12"/>
        <v>0</v>
      </c>
      <c r="AI21" s="124">
        <f>(AI16*$AJ8)+(AI16*$AJ9)+(AI16*$AJ10)+(AI16*$AJ11)+(AI16*$AJ12)+(AI16*$AJ13)+(AI16*$AJ14)+(AI16*$AJ15)</f>
        <v>0</v>
      </c>
      <c r="AJ21" s="125">
        <f>SUM(AB21:AI21)</f>
        <v>12100</v>
      </c>
      <c r="AK21" s="127"/>
      <c r="AL21" s="125" t="s">
        <v>32</v>
      </c>
      <c r="AM21" s="44"/>
    </row>
    <row r="22" spans="1:39" ht="22" thickTop="1">
      <c r="A22" s="24"/>
      <c r="B22" s="115"/>
      <c r="C22" s="115"/>
      <c r="D22" s="115"/>
      <c r="E22" s="115"/>
      <c r="F22" s="115"/>
      <c r="G22" s="115"/>
      <c r="H22" s="115"/>
      <c r="I22" t="s">
        <v>111</v>
      </c>
      <c r="J22" s="103">
        <f>I19/I20</f>
        <v>4.8016528925619834E-2</v>
      </c>
      <c r="K22" s="101"/>
      <c r="O22" s="24"/>
      <c r="P22" s="100"/>
      <c r="Q22" s="100"/>
      <c r="R22" s="100"/>
      <c r="S22" s="100"/>
      <c r="T22" s="100"/>
      <c r="U22" s="111"/>
      <c r="V22" s="132"/>
      <c r="W22" s="101"/>
      <c r="X22" s="24"/>
      <c r="AA22" s="24"/>
      <c r="AB22" s="13"/>
      <c r="AC22" s="115"/>
      <c r="AD22" s="115"/>
      <c r="AE22" s="115"/>
      <c r="AF22" s="115"/>
      <c r="AG22" s="115"/>
      <c r="AJ22" t="s">
        <v>110</v>
      </c>
      <c r="AK22" s="102">
        <f>AM19</f>
        <v>0.23636363636363636</v>
      </c>
      <c r="AL22" s="104">
        <f>(AK22-AK23)/(1-AK23)</f>
        <v>0.10681488641855968</v>
      </c>
      <c r="AM22" s="44"/>
    </row>
    <row r="23" spans="1:39" ht="21">
      <c r="A23" s="24"/>
      <c r="B23" s="115"/>
      <c r="C23" s="115"/>
      <c r="D23" s="115"/>
      <c r="E23" s="115"/>
      <c r="F23" s="115"/>
      <c r="G23" s="115"/>
      <c r="H23" s="115"/>
      <c r="L23" s="5"/>
      <c r="M23" s="117"/>
      <c r="N23" s="5"/>
      <c r="O23" s="59"/>
      <c r="P23" s="59"/>
      <c r="Q23" s="59"/>
      <c r="R23" s="59"/>
      <c r="S23" s="59"/>
      <c r="T23" s="59"/>
      <c r="U23" s="59"/>
      <c r="V23" s="59"/>
      <c r="W23" s="59"/>
      <c r="X23" s="59"/>
      <c r="AA23" s="59"/>
      <c r="AB23" s="95"/>
      <c r="AC23" s="115"/>
      <c r="AD23" s="115"/>
      <c r="AE23" s="115"/>
      <c r="AF23" s="115"/>
      <c r="AG23" s="115"/>
      <c r="AJ23" t="s">
        <v>111</v>
      </c>
      <c r="AK23" s="103">
        <f>AJ20/AJ21</f>
        <v>0.14504132231404959</v>
      </c>
      <c r="AL23" s="101"/>
    </row>
    <row r="24" spans="1:39" ht="21">
      <c r="A24" s="59"/>
      <c r="B24" s="126"/>
      <c r="C24" s="126"/>
      <c r="D24" s="126"/>
      <c r="E24" s="126"/>
      <c r="F24" s="126"/>
      <c r="G24" s="126"/>
      <c r="H24" s="126"/>
      <c r="L24" s="5"/>
      <c r="M24" s="117"/>
      <c r="N24" s="5"/>
      <c r="O24" s="59"/>
      <c r="P24" s="59"/>
      <c r="Q24" s="59"/>
      <c r="R24" s="59"/>
      <c r="S24" s="59"/>
      <c r="T24" s="59"/>
      <c r="U24" s="59"/>
      <c r="V24" s="59"/>
      <c r="W24" s="59"/>
      <c r="X24" s="59"/>
      <c r="AA24" s="59"/>
      <c r="AB24" s="115"/>
      <c r="AC24" s="115"/>
      <c r="AD24" s="115"/>
      <c r="AE24" s="115"/>
      <c r="AF24" s="115"/>
      <c r="AG24" s="115"/>
      <c r="AH24" s="115"/>
      <c r="AI24" s="115"/>
      <c r="AJ24" s="111"/>
      <c r="AK24" s="111"/>
      <c r="AL24" s="111"/>
      <c r="AM24" s="5"/>
    </row>
    <row r="25" spans="1:39" ht="21">
      <c r="B25" s="126"/>
      <c r="C25" s="126"/>
      <c r="D25" s="126"/>
      <c r="E25" s="126"/>
      <c r="F25" s="126"/>
      <c r="G25" s="126"/>
      <c r="H25" s="126"/>
      <c r="L25" s="5"/>
      <c r="M25" s="117"/>
      <c r="N25" s="5"/>
      <c r="O25" s="59"/>
      <c r="P25" s="59"/>
      <c r="Q25" s="59"/>
      <c r="R25" s="59"/>
      <c r="S25" s="59"/>
      <c r="T25" s="59"/>
      <c r="U25" s="59"/>
      <c r="V25" s="59"/>
      <c r="W25" s="59"/>
      <c r="X25" s="59"/>
      <c r="AA25" s="59"/>
      <c r="AB25" s="115"/>
      <c r="AC25" s="115"/>
      <c r="AD25" s="115"/>
      <c r="AE25" s="115"/>
      <c r="AF25" s="115"/>
      <c r="AG25" s="115"/>
      <c r="AH25" s="115"/>
      <c r="AI25" s="115"/>
      <c r="AJ25" s="111"/>
      <c r="AK25" s="111"/>
      <c r="AL25" s="111"/>
      <c r="AM25" s="5"/>
    </row>
    <row r="26" spans="1:39" ht="17" thickBot="1">
      <c r="A26" s="188" t="s">
        <v>8</v>
      </c>
      <c r="B26" s="188"/>
      <c r="C26" s="188"/>
      <c r="D26" s="188"/>
      <c r="E26" s="188"/>
      <c r="F26" s="188"/>
      <c r="G26" s="188"/>
      <c r="H26" s="188"/>
      <c r="I26" s="188"/>
      <c r="J26" s="188"/>
      <c r="K26" s="188"/>
      <c r="L26" s="6"/>
      <c r="M26" s="112"/>
      <c r="O26" s="188" t="s">
        <v>8</v>
      </c>
      <c r="P26" s="188"/>
      <c r="Q26" s="188"/>
      <c r="R26" s="188"/>
      <c r="S26" s="188"/>
      <c r="T26" s="188"/>
      <c r="U26" s="188"/>
      <c r="V26" s="188"/>
      <c r="W26" s="188"/>
      <c r="X26" s="190"/>
      <c r="AA26" s="188" t="s">
        <v>8</v>
      </c>
      <c r="AB26" s="188"/>
      <c r="AC26" s="188"/>
      <c r="AD26" s="188"/>
      <c r="AE26" s="188"/>
      <c r="AF26" s="188"/>
      <c r="AG26" s="188"/>
      <c r="AH26" s="188"/>
      <c r="AI26" s="188"/>
      <c r="AJ26" s="188"/>
      <c r="AK26" s="188"/>
      <c r="AL26" s="6"/>
    </row>
    <row r="27" spans="1:39" ht="91" thickBot="1">
      <c r="A27" s="8" t="s">
        <v>36</v>
      </c>
      <c r="B27" s="9" t="s">
        <v>10</v>
      </c>
      <c r="C27" s="9" t="s">
        <v>11</v>
      </c>
      <c r="D27" s="9" t="s">
        <v>12</v>
      </c>
      <c r="E27" s="9" t="s">
        <v>13</v>
      </c>
      <c r="F27" s="9" t="s">
        <v>14</v>
      </c>
      <c r="G27" s="9" t="s">
        <v>15</v>
      </c>
      <c r="H27" s="9" t="s">
        <v>16</v>
      </c>
      <c r="I27" s="10" t="s">
        <v>17</v>
      </c>
      <c r="J27" s="11" t="s">
        <v>18</v>
      </c>
      <c r="K27" s="12" t="s">
        <v>19</v>
      </c>
      <c r="L27" s="13"/>
      <c r="M27" s="114"/>
      <c r="O27" s="8" t="s">
        <v>37</v>
      </c>
      <c r="P27" s="9" t="s">
        <v>10</v>
      </c>
      <c r="Q27" s="9" t="s">
        <v>11</v>
      </c>
      <c r="R27" s="9" t="s">
        <v>21</v>
      </c>
      <c r="S27" s="9" t="s">
        <v>22</v>
      </c>
      <c r="T27" s="9" t="s">
        <v>16</v>
      </c>
      <c r="U27" s="10" t="s">
        <v>17</v>
      </c>
      <c r="V27" s="15" t="s">
        <v>18</v>
      </c>
      <c r="W27" s="12" t="s">
        <v>19</v>
      </c>
      <c r="X27" s="16"/>
      <c r="AA27" s="8" t="s">
        <v>38</v>
      </c>
      <c r="AB27" s="17" t="s">
        <v>24</v>
      </c>
      <c r="AC27" s="17" t="s">
        <v>25</v>
      </c>
      <c r="AD27" s="17" t="s">
        <v>26</v>
      </c>
      <c r="AE27" s="17" t="s">
        <v>27</v>
      </c>
      <c r="AF27" s="17" t="s">
        <v>28</v>
      </c>
      <c r="AG27" s="17" t="s">
        <v>29</v>
      </c>
      <c r="AH27" s="17" t="s">
        <v>30</v>
      </c>
      <c r="AI27" s="17" t="s">
        <v>16</v>
      </c>
      <c r="AJ27" s="18" t="s">
        <v>17</v>
      </c>
      <c r="AK27" s="18" t="s">
        <v>18</v>
      </c>
      <c r="AL27" s="19" t="s">
        <v>19</v>
      </c>
    </row>
    <row r="28" spans="1:39" ht="56">
      <c r="A28" s="20" t="s">
        <v>10</v>
      </c>
      <c r="B28" s="13"/>
      <c r="C28" s="13"/>
      <c r="D28" s="13"/>
      <c r="E28" s="13"/>
      <c r="F28" s="13">
        <v>4</v>
      </c>
      <c r="G28" s="13">
        <v>3</v>
      </c>
      <c r="H28" s="13"/>
      <c r="I28" s="13">
        <f t="shared" ref="I28:I35" si="13">SUM(B28:H28)</f>
        <v>7</v>
      </c>
      <c r="J28" s="22">
        <f>1-K28</f>
        <v>1</v>
      </c>
      <c r="K28" s="23">
        <f>0/8</f>
        <v>0</v>
      </c>
      <c r="L28" s="21"/>
      <c r="M28" s="115"/>
      <c r="O28" s="20" t="s">
        <v>10</v>
      </c>
      <c r="P28" s="13"/>
      <c r="Q28" s="13"/>
      <c r="R28" s="13"/>
      <c r="S28" s="13">
        <v>7</v>
      </c>
      <c r="T28" s="13"/>
      <c r="U28" s="21">
        <f t="shared" ref="U28:U33" si="14">SUM(P28:T28)</f>
        <v>7</v>
      </c>
      <c r="V28" s="25">
        <f>1-W28</f>
        <v>1</v>
      </c>
      <c r="W28" s="23">
        <f>P28/U28</f>
        <v>0</v>
      </c>
      <c r="X28" s="21"/>
      <c r="AA28" s="26" t="s">
        <v>24</v>
      </c>
      <c r="AB28" s="27">
        <v>5</v>
      </c>
      <c r="AC28" s="28">
        <v>2</v>
      </c>
      <c r="AD28" s="28"/>
      <c r="AE28" s="28"/>
      <c r="AF28" s="28"/>
      <c r="AG28" s="28"/>
      <c r="AH28" s="28"/>
      <c r="AJ28" s="29">
        <f t="shared" ref="AJ28:AJ34" si="15">SUM(AB28:AH28)</f>
        <v>7</v>
      </c>
      <c r="AK28" s="30">
        <f>1-AL28</f>
        <v>0.2857142857142857</v>
      </c>
      <c r="AL28" s="31">
        <f>AB28/AJ28</f>
        <v>0.7142857142857143</v>
      </c>
    </row>
    <row r="29" spans="1:39" ht="45">
      <c r="A29" s="20" t="s">
        <v>11</v>
      </c>
      <c r="B29" s="13"/>
      <c r="C29" s="13"/>
      <c r="D29" s="13"/>
      <c r="E29" s="13"/>
      <c r="F29" s="13">
        <v>1</v>
      </c>
      <c r="G29" s="13">
        <v>20</v>
      </c>
      <c r="H29" s="13"/>
      <c r="I29" s="13">
        <f t="shared" si="13"/>
        <v>21</v>
      </c>
      <c r="J29" s="22">
        <f t="shared" ref="J29:J34" si="16">1-K29</f>
        <v>1</v>
      </c>
      <c r="K29" s="23">
        <f>C29/I29</f>
        <v>0</v>
      </c>
      <c r="L29" s="21"/>
      <c r="M29" s="115"/>
      <c r="O29" s="20" t="s">
        <v>11</v>
      </c>
      <c r="P29" s="13"/>
      <c r="Q29" s="13"/>
      <c r="R29" s="13"/>
      <c r="S29" s="13"/>
      <c r="T29" s="13"/>
      <c r="U29" s="21">
        <f t="shared" si="14"/>
        <v>0</v>
      </c>
      <c r="V29" s="25">
        <f t="shared" ref="V29:V32" si="17">1-W29</f>
        <v>0</v>
      </c>
      <c r="W29" s="23">
        <v>1</v>
      </c>
      <c r="X29" s="21"/>
      <c r="AA29" s="32" t="s">
        <v>25</v>
      </c>
      <c r="AB29" s="16">
        <v>1</v>
      </c>
      <c r="AC29" s="13">
        <v>5</v>
      </c>
      <c r="AD29" s="13">
        <v>2</v>
      </c>
      <c r="AE29" s="13"/>
      <c r="AF29" s="13"/>
      <c r="AG29" s="13"/>
      <c r="AH29" s="13"/>
      <c r="AJ29" s="21">
        <f t="shared" si="15"/>
        <v>8</v>
      </c>
      <c r="AK29" s="25">
        <f>1-AL29</f>
        <v>0.375</v>
      </c>
      <c r="AL29" s="23">
        <f>AC29/AJ29</f>
        <v>0.625</v>
      </c>
    </row>
    <row r="30" spans="1:39" ht="45">
      <c r="A30" s="20" t="s">
        <v>12</v>
      </c>
      <c r="B30" s="13"/>
      <c r="C30" s="13"/>
      <c r="D30" s="13"/>
      <c r="E30" s="13"/>
      <c r="F30" s="13"/>
      <c r="G30" s="13"/>
      <c r="H30" s="13"/>
      <c r="I30" s="13">
        <f t="shared" si="13"/>
        <v>0</v>
      </c>
      <c r="J30" s="22">
        <f t="shared" si="16"/>
        <v>0</v>
      </c>
      <c r="K30" s="23">
        <v>1</v>
      </c>
      <c r="L30" s="21"/>
      <c r="M30" s="115"/>
      <c r="O30" s="20" t="s">
        <v>21</v>
      </c>
      <c r="P30" s="13"/>
      <c r="Q30" s="13"/>
      <c r="R30" s="13">
        <v>7</v>
      </c>
      <c r="S30" s="13">
        <v>96</v>
      </c>
      <c r="T30" s="13"/>
      <c r="U30" s="21">
        <f t="shared" si="14"/>
        <v>103</v>
      </c>
      <c r="V30" s="25">
        <f t="shared" si="17"/>
        <v>0.93203883495145634</v>
      </c>
      <c r="W30" s="23">
        <f>R30/U30</f>
        <v>6.7961165048543687E-2</v>
      </c>
      <c r="X30" s="21"/>
      <c r="AA30" s="32" t="s">
        <v>26</v>
      </c>
      <c r="AB30" s="16">
        <v>15</v>
      </c>
      <c r="AC30" s="13">
        <v>2</v>
      </c>
      <c r="AD30" s="13">
        <v>10</v>
      </c>
      <c r="AE30" s="13">
        <v>1</v>
      </c>
      <c r="AF30" s="13"/>
      <c r="AG30" s="13"/>
      <c r="AH30" s="13"/>
      <c r="AJ30" s="21">
        <f t="shared" si="15"/>
        <v>28</v>
      </c>
      <c r="AK30" s="25">
        <f t="shared" ref="AK30:AK35" si="18">1-AL30</f>
        <v>0.64285714285714279</v>
      </c>
      <c r="AL30" s="23">
        <f>AD30/AJ30</f>
        <v>0.35714285714285715</v>
      </c>
    </row>
    <row r="31" spans="1:39" ht="42">
      <c r="A31" s="20" t="s">
        <v>13</v>
      </c>
      <c r="B31" s="13"/>
      <c r="C31" s="13"/>
      <c r="D31" s="13"/>
      <c r="E31" s="13">
        <v>7</v>
      </c>
      <c r="F31" s="13">
        <v>9</v>
      </c>
      <c r="G31" s="13">
        <v>66</v>
      </c>
      <c r="H31" s="13"/>
      <c r="I31" s="13">
        <f t="shared" si="13"/>
        <v>82</v>
      </c>
      <c r="J31" s="22">
        <f t="shared" si="16"/>
        <v>0.91463414634146345</v>
      </c>
      <c r="K31" s="23">
        <f>E31/I31</f>
        <v>8.5365853658536592E-2</v>
      </c>
      <c r="L31" s="21"/>
      <c r="M31" s="115"/>
      <c r="O31" s="20" t="s">
        <v>22</v>
      </c>
      <c r="P31" s="13"/>
      <c r="Q31" s="13"/>
      <c r="R31" s="13"/>
      <c r="S31" s="13"/>
      <c r="T31" s="13"/>
      <c r="U31" s="21">
        <f t="shared" si="14"/>
        <v>0</v>
      </c>
      <c r="V31" s="25">
        <f t="shared" si="17"/>
        <v>0</v>
      </c>
      <c r="W31" s="23">
        <v>1</v>
      </c>
      <c r="X31" s="21"/>
      <c r="AA31" s="32" t="s">
        <v>27</v>
      </c>
      <c r="AB31" s="16">
        <v>43</v>
      </c>
      <c r="AC31" s="13">
        <v>6</v>
      </c>
      <c r="AD31" s="13">
        <v>1</v>
      </c>
      <c r="AE31" s="13">
        <v>6</v>
      </c>
      <c r="AF31" s="13"/>
      <c r="AG31" s="13"/>
      <c r="AH31" s="13"/>
      <c r="AJ31" s="21">
        <f t="shared" si="15"/>
        <v>56</v>
      </c>
      <c r="AK31" s="25">
        <f t="shared" si="18"/>
        <v>0.8928571428571429</v>
      </c>
      <c r="AL31" s="23">
        <f>AE31/AJ31</f>
        <v>0.10714285714285714</v>
      </c>
    </row>
    <row r="32" spans="1:39" ht="45">
      <c r="A32" s="20" t="s">
        <v>14</v>
      </c>
      <c r="B32" s="13"/>
      <c r="C32" s="13"/>
      <c r="D32" s="13"/>
      <c r="E32" s="13"/>
      <c r="F32" s="13"/>
      <c r="G32" s="13"/>
      <c r="H32" s="13"/>
      <c r="I32" s="13">
        <f t="shared" si="13"/>
        <v>0</v>
      </c>
      <c r="J32" s="22">
        <f t="shared" si="16"/>
        <v>0</v>
      </c>
      <c r="K32" s="23">
        <v>1</v>
      </c>
      <c r="L32" s="21"/>
      <c r="M32" s="115"/>
      <c r="O32" s="20" t="s">
        <v>16</v>
      </c>
      <c r="P32" s="13"/>
      <c r="Q32" s="13"/>
      <c r="R32" s="13"/>
      <c r="S32" s="13"/>
      <c r="T32" s="13"/>
      <c r="U32" s="21">
        <f t="shared" si="14"/>
        <v>0</v>
      </c>
      <c r="V32" s="25">
        <f t="shared" si="17"/>
        <v>0</v>
      </c>
      <c r="W32" s="23">
        <v>1</v>
      </c>
      <c r="X32" s="21"/>
      <c r="AA32" s="32" t="s">
        <v>28</v>
      </c>
      <c r="AB32" s="16"/>
      <c r="AC32" s="13"/>
      <c r="AD32" s="13"/>
      <c r="AE32" s="13"/>
      <c r="AF32" s="13"/>
      <c r="AG32" s="13"/>
      <c r="AH32" s="13"/>
      <c r="AJ32" s="21">
        <f t="shared" si="15"/>
        <v>0</v>
      </c>
      <c r="AK32" s="25">
        <f t="shared" si="18"/>
        <v>0</v>
      </c>
      <c r="AL32" s="23">
        <v>1</v>
      </c>
    </row>
    <row r="33" spans="1:39" ht="30">
      <c r="A33" s="20" t="s">
        <v>15</v>
      </c>
      <c r="B33" s="13"/>
      <c r="C33" s="13"/>
      <c r="D33" s="13"/>
      <c r="E33" s="13"/>
      <c r="F33" s="13"/>
      <c r="G33" s="13"/>
      <c r="H33" s="13"/>
      <c r="I33" s="13">
        <f t="shared" si="13"/>
        <v>0</v>
      </c>
      <c r="J33" s="22">
        <f t="shared" si="16"/>
        <v>0</v>
      </c>
      <c r="K33" s="23">
        <v>1</v>
      </c>
      <c r="L33" s="21"/>
      <c r="M33" s="115"/>
      <c r="O33" s="33" t="s">
        <v>17</v>
      </c>
      <c r="P33" s="21">
        <f>SUM(P28:P32)</f>
        <v>0</v>
      </c>
      <c r="Q33" s="21">
        <f>SUM(Q28:Q32)</f>
        <v>0</v>
      </c>
      <c r="R33" s="21">
        <f>SUM(R28:R32)</f>
        <v>7</v>
      </c>
      <c r="S33" s="21">
        <f>SUM(S28:S32)</f>
        <v>103</v>
      </c>
      <c r="T33" s="21">
        <f>SUM(T28:T32)</f>
        <v>0</v>
      </c>
      <c r="U33" s="21">
        <f t="shared" si="14"/>
        <v>110</v>
      </c>
      <c r="V33" s="21"/>
      <c r="W33" s="34"/>
      <c r="X33" s="21"/>
      <c r="AA33" s="32" t="s">
        <v>29</v>
      </c>
      <c r="AB33" s="16">
        <v>2</v>
      </c>
      <c r="AC33" s="13"/>
      <c r="AD33" s="13"/>
      <c r="AE33" s="13">
        <v>1</v>
      </c>
      <c r="AF33" s="13"/>
      <c r="AG33" s="13"/>
      <c r="AH33" s="13"/>
      <c r="AJ33" s="21">
        <f t="shared" si="15"/>
        <v>3</v>
      </c>
      <c r="AK33" s="25">
        <f t="shared" si="18"/>
        <v>1</v>
      </c>
      <c r="AL33" s="23">
        <f>AG33/AJ33</f>
        <v>0</v>
      </c>
    </row>
    <row r="34" spans="1:39" ht="45">
      <c r="A34" s="20" t="s">
        <v>16</v>
      </c>
      <c r="B34" s="13"/>
      <c r="C34" s="13"/>
      <c r="D34" s="13"/>
      <c r="E34" s="13"/>
      <c r="F34" s="13"/>
      <c r="G34" s="13"/>
      <c r="H34" s="13"/>
      <c r="I34" s="13">
        <f t="shared" si="13"/>
        <v>0</v>
      </c>
      <c r="J34" s="22">
        <f t="shared" si="16"/>
        <v>0</v>
      </c>
      <c r="K34" s="23">
        <v>1</v>
      </c>
      <c r="L34" s="21"/>
      <c r="M34" s="115"/>
      <c r="O34" s="33" t="s">
        <v>31</v>
      </c>
      <c r="P34" s="25">
        <f>1-P35</f>
        <v>0</v>
      </c>
      <c r="Q34" s="25">
        <f t="shared" ref="Q34:T34" si="19">1-Q35</f>
        <v>0</v>
      </c>
      <c r="R34" s="25">
        <f t="shared" si="19"/>
        <v>0</v>
      </c>
      <c r="S34" s="25">
        <f t="shared" si="19"/>
        <v>1</v>
      </c>
      <c r="T34" s="25">
        <f t="shared" si="19"/>
        <v>0</v>
      </c>
      <c r="U34" s="13"/>
      <c r="V34" s="35" t="s">
        <v>32</v>
      </c>
      <c r="W34" s="36">
        <f>W39</f>
        <v>4.3061780472800669E-3</v>
      </c>
      <c r="X34" s="21"/>
      <c r="AA34" s="32" t="s">
        <v>30</v>
      </c>
      <c r="AB34" s="16"/>
      <c r="AC34" s="13"/>
      <c r="AD34" s="13"/>
      <c r="AE34" s="13"/>
      <c r="AF34" s="13"/>
      <c r="AG34" s="13"/>
      <c r="AH34" s="13"/>
      <c r="AJ34" s="21">
        <f t="shared" si="15"/>
        <v>0</v>
      </c>
      <c r="AK34" s="25">
        <f t="shared" si="18"/>
        <v>0</v>
      </c>
      <c r="AL34" s="23">
        <v>1</v>
      </c>
    </row>
    <row r="35" spans="1:39" ht="29" thickBot="1">
      <c r="A35" s="33" t="s">
        <v>17</v>
      </c>
      <c r="B35" s="21">
        <f t="shared" ref="B35:H35" si="20">SUM(B28:B34)</f>
        <v>0</v>
      </c>
      <c r="C35" s="21">
        <f t="shared" si="20"/>
        <v>0</v>
      </c>
      <c r="D35" s="21">
        <f t="shared" si="20"/>
        <v>0</v>
      </c>
      <c r="E35" s="21">
        <f t="shared" si="20"/>
        <v>7</v>
      </c>
      <c r="F35" s="21">
        <f t="shared" si="20"/>
        <v>14</v>
      </c>
      <c r="G35" s="21">
        <f t="shared" si="20"/>
        <v>89</v>
      </c>
      <c r="H35" s="21">
        <f t="shared" si="20"/>
        <v>0</v>
      </c>
      <c r="I35" s="21">
        <f t="shared" si="13"/>
        <v>110</v>
      </c>
      <c r="J35" s="37"/>
      <c r="K35" s="34"/>
      <c r="L35" s="21"/>
      <c r="M35" s="115"/>
      <c r="O35" s="38" t="s">
        <v>33</v>
      </c>
      <c r="P35" s="39">
        <v>1</v>
      </c>
      <c r="Q35" s="40">
        <v>1</v>
      </c>
      <c r="R35" s="40">
        <f>R30/R33</f>
        <v>1</v>
      </c>
      <c r="S35" s="40">
        <f>S31/S33</f>
        <v>0</v>
      </c>
      <c r="T35" s="39">
        <v>1</v>
      </c>
      <c r="U35" s="41"/>
      <c r="V35" s="42" t="s">
        <v>34</v>
      </c>
      <c r="W35" s="43">
        <f>X36</f>
        <v>6.363636363636363E-2</v>
      </c>
      <c r="X35" s="44"/>
      <c r="AA35" s="60" t="s">
        <v>16</v>
      </c>
      <c r="AB35" s="16">
        <v>3</v>
      </c>
      <c r="AE35" s="13">
        <v>5</v>
      </c>
      <c r="AJ35" s="21">
        <f>SUM(AB35:AI35)</f>
        <v>8</v>
      </c>
      <c r="AK35" s="25">
        <f t="shared" si="18"/>
        <v>1</v>
      </c>
      <c r="AL35" s="23">
        <f>AI35/AJ35</f>
        <v>0</v>
      </c>
    </row>
    <row r="36" spans="1:39" ht="28">
      <c r="A36" s="33" t="s">
        <v>31</v>
      </c>
      <c r="B36" s="25">
        <f>1-B37</f>
        <v>0</v>
      </c>
      <c r="C36" s="25">
        <f t="shared" ref="C36:H36" si="21">1-C37</f>
        <v>0</v>
      </c>
      <c r="D36" s="25">
        <f t="shared" si="21"/>
        <v>0</v>
      </c>
      <c r="E36" s="25">
        <f t="shared" si="21"/>
        <v>0</v>
      </c>
      <c r="F36" s="25">
        <f t="shared" si="21"/>
        <v>1</v>
      </c>
      <c r="G36" s="25">
        <f t="shared" si="21"/>
        <v>1</v>
      </c>
      <c r="H36" s="25">
        <f t="shared" si="21"/>
        <v>0</v>
      </c>
      <c r="I36" s="49"/>
      <c r="J36" s="46" t="s">
        <v>32</v>
      </c>
      <c r="K36" s="36">
        <f>K41</f>
        <v>1.7005032101336106E-2</v>
      </c>
      <c r="L36" s="21"/>
      <c r="M36" s="115"/>
      <c r="O36" s="129" t="s">
        <v>136</v>
      </c>
      <c r="V36" s="4"/>
      <c r="X36" s="50">
        <f>SUM(P28,Q29,R30,S31,T32)/U33</f>
        <v>6.363636363636363E-2</v>
      </c>
      <c r="AA36" s="33" t="s">
        <v>17</v>
      </c>
      <c r="AB36" s="21">
        <f t="shared" ref="AB36:AH36" si="22">SUM(AB28:AB35)</f>
        <v>69</v>
      </c>
      <c r="AC36" s="21">
        <f t="shared" si="22"/>
        <v>15</v>
      </c>
      <c r="AD36" s="21">
        <f t="shared" si="22"/>
        <v>13</v>
      </c>
      <c r="AE36" s="21">
        <f t="shared" si="22"/>
        <v>13</v>
      </c>
      <c r="AF36" s="21">
        <f t="shared" si="22"/>
        <v>0</v>
      </c>
      <c r="AG36" s="21">
        <f t="shared" si="22"/>
        <v>0</v>
      </c>
      <c r="AH36" s="21">
        <f t="shared" si="22"/>
        <v>0</v>
      </c>
      <c r="AI36" s="21">
        <f>SUM(AI28:AI35)</f>
        <v>0</v>
      </c>
      <c r="AJ36" s="21">
        <f>SUM(AB36:AI36)</f>
        <v>110</v>
      </c>
      <c r="AL36" s="51"/>
    </row>
    <row r="37" spans="1:39" ht="29" thickBot="1">
      <c r="A37" s="38" t="s">
        <v>33</v>
      </c>
      <c r="B37" s="39">
        <v>1</v>
      </c>
      <c r="C37" s="40">
        <v>1</v>
      </c>
      <c r="D37" s="40">
        <v>1</v>
      </c>
      <c r="E37" s="40">
        <f>E31/E35</f>
        <v>1</v>
      </c>
      <c r="F37" s="40">
        <f>F32/F35</f>
        <v>0</v>
      </c>
      <c r="G37" s="40">
        <f>G33/G35</f>
        <v>0</v>
      </c>
      <c r="H37" s="39">
        <v>1</v>
      </c>
      <c r="I37" s="41"/>
      <c r="J37" s="52" t="s">
        <v>34</v>
      </c>
      <c r="K37" s="43">
        <f>L38</f>
        <v>6.363636363636363E-2</v>
      </c>
      <c r="L37" s="44"/>
      <c r="M37" s="116"/>
      <c r="O37" s="141" t="s">
        <v>135</v>
      </c>
      <c r="P37" s="122">
        <f>P33*U28</f>
        <v>0</v>
      </c>
      <c r="Q37" s="122">
        <f>Q33*U29</f>
        <v>0</v>
      </c>
      <c r="R37" s="122">
        <f>R33*U30</f>
        <v>721</v>
      </c>
      <c r="S37" s="122">
        <f>S33*U31</f>
        <v>0</v>
      </c>
      <c r="T37" s="122">
        <f>T33*U32</f>
        <v>0</v>
      </c>
      <c r="U37" s="123">
        <f>SUM(N37:T37)</f>
        <v>721</v>
      </c>
      <c r="V37" s="128"/>
      <c r="W37" s="123"/>
      <c r="X37" s="44"/>
      <c r="AA37" s="33" t="s">
        <v>35</v>
      </c>
      <c r="AB37" s="53">
        <f>1-AB38</f>
        <v>0.92753623188405798</v>
      </c>
      <c r="AC37" s="54">
        <f>1-AC38</f>
        <v>0.66666666666666674</v>
      </c>
      <c r="AD37" s="54">
        <f t="shared" ref="AD37:AI37" si="23">1-AD38</f>
        <v>0.23076923076923073</v>
      </c>
      <c r="AE37" s="54">
        <f t="shared" si="23"/>
        <v>0.53846153846153844</v>
      </c>
      <c r="AF37" s="54">
        <f t="shared" si="23"/>
        <v>0</v>
      </c>
      <c r="AG37" s="54">
        <f t="shared" si="23"/>
        <v>0</v>
      </c>
      <c r="AH37" s="54">
        <f t="shared" si="23"/>
        <v>0</v>
      </c>
      <c r="AI37" s="54">
        <f t="shared" si="23"/>
        <v>0</v>
      </c>
      <c r="AK37" s="35" t="s">
        <v>32</v>
      </c>
      <c r="AL37" s="36">
        <f>AL42</f>
        <v>0.11196540124939934</v>
      </c>
    </row>
    <row r="38" spans="1:39" ht="33" thickBot="1">
      <c r="A38" s="129" t="s">
        <v>136</v>
      </c>
      <c r="L38" s="50">
        <f>SUM(B28,C29,D30,E31,F32,G33,H34)/I35</f>
        <v>6.363636363636363E-2</v>
      </c>
      <c r="M38" s="113"/>
      <c r="O38" s="142" t="s">
        <v>134</v>
      </c>
      <c r="P38" s="124">
        <f>(P33*$U28)+(P33*$U29)+(P33*$U30)+(P33*$U31)+(P33*$U32)</f>
        <v>0</v>
      </c>
      <c r="Q38" s="124">
        <f t="shared" ref="Q38:T38" si="24">(Q33*$U28)+(Q33*$U29)+(Q33*$U30)+(Q33*$U31)+(Q33*$U32)</f>
        <v>0</v>
      </c>
      <c r="R38" s="124">
        <f t="shared" si="24"/>
        <v>770</v>
      </c>
      <c r="S38" s="124">
        <f t="shared" si="24"/>
        <v>11330</v>
      </c>
      <c r="T38" s="124">
        <f t="shared" si="24"/>
        <v>0</v>
      </c>
      <c r="U38" s="125">
        <f>SUM(N38:T38)</f>
        <v>12100</v>
      </c>
      <c r="V38" s="127"/>
      <c r="W38" s="125" t="s">
        <v>32</v>
      </c>
      <c r="X38" s="44"/>
      <c r="AA38" s="38" t="s">
        <v>33</v>
      </c>
      <c r="AB38" s="56">
        <f>AB28/AB36</f>
        <v>7.2463768115942032E-2</v>
      </c>
      <c r="AC38" s="57">
        <f>AC29/AC36</f>
        <v>0.33333333333333331</v>
      </c>
      <c r="AD38" s="57">
        <f>AD30/AD36</f>
        <v>0.76923076923076927</v>
      </c>
      <c r="AE38" s="57">
        <f>AE31/AE36</f>
        <v>0.46153846153846156</v>
      </c>
      <c r="AF38" s="57">
        <v>1</v>
      </c>
      <c r="AG38" s="57">
        <v>1</v>
      </c>
      <c r="AH38" s="57">
        <v>1</v>
      </c>
      <c r="AI38" s="57">
        <v>1</v>
      </c>
      <c r="AJ38" s="41"/>
      <c r="AK38" s="42" t="s">
        <v>34</v>
      </c>
      <c r="AL38" s="43">
        <f>AM39</f>
        <v>0.23636363636363636</v>
      </c>
    </row>
    <row r="39" spans="1:39" ht="22" thickTop="1">
      <c r="A39" s="130" t="s">
        <v>135</v>
      </c>
      <c r="B39" s="122">
        <f>B35*I28</f>
        <v>0</v>
      </c>
      <c r="C39" s="122">
        <f>C35*I29</f>
        <v>0</v>
      </c>
      <c r="D39" s="122">
        <f>D35*I30</f>
        <v>0</v>
      </c>
      <c r="E39" s="122">
        <f>E35*I31</f>
        <v>574</v>
      </c>
      <c r="F39" s="122">
        <f>F35*I32</f>
        <v>0</v>
      </c>
      <c r="G39" s="122">
        <f>G35*I33</f>
        <v>0</v>
      </c>
      <c r="H39" s="122">
        <f>H35*I34</f>
        <v>0</v>
      </c>
      <c r="I39" s="123">
        <f>SUM(B39:H39)</f>
        <v>574</v>
      </c>
      <c r="J39" s="128"/>
      <c r="K39" s="123"/>
      <c r="L39" s="44"/>
      <c r="M39" s="116"/>
      <c r="O39" s="13"/>
      <c r="P39" s="115"/>
      <c r="Q39" s="115"/>
      <c r="R39" s="115"/>
      <c r="S39" s="115"/>
      <c r="T39" s="115"/>
      <c r="U39" t="s">
        <v>110</v>
      </c>
      <c r="V39" s="102">
        <f>X36</f>
        <v>6.363636363636363E-2</v>
      </c>
      <c r="W39" s="104">
        <f>(V39-V40)/(1-V40)</f>
        <v>4.3061780472800669E-3</v>
      </c>
      <c r="X39" s="44"/>
      <c r="AA39" s="129" t="s">
        <v>136</v>
      </c>
      <c r="AK39" s="4"/>
      <c r="AM39" s="50">
        <f>SUM(AB28,AC29,AD30,AE31,AF32,AG33,AH34,AI35)/AJ36</f>
        <v>0.23636363636363636</v>
      </c>
    </row>
    <row r="40" spans="1:39" ht="29" thickBot="1">
      <c r="A40" s="131" t="s">
        <v>134</v>
      </c>
      <c r="B40" s="124">
        <f>(B35*$I28)+(B35*$I29)+(B35*$I30)+(B35*$I31)+(B35*$I32)+(B35*$I33)+(B35*$I34)</f>
        <v>0</v>
      </c>
      <c r="C40" s="124">
        <f>(C35*$I28)+(C35*$I29)+(C35*$I30)+(C35*$I31)+(C35*$I32)+(C35*$I33)+(C35*$I34)</f>
        <v>0</v>
      </c>
      <c r="D40" s="124">
        <f>(D35*$I28)+(D35*$I29)+(D35*$I30)+(D35*$I31)+(D35*$I32)+(D35*$I33)+(D35*$I34)</f>
        <v>0</v>
      </c>
      <c r="E40" s="124">
        <f>(E35*$I28)+(E35*$I29)+(E35*$I30)+(E35*$I31)+(E35*$I32)+(E35*$I33)+(E35*$I34)</f>
        <v>770</v>
      </c>
      <c r="F40" s="124">
        <f>(F35*$I28)+(F35*$I29)+(F35*$I30)+(F35*$I31)+(F35*$I32)+(F35*$I33)+(F35*$I34)</f>
        <v>1540</v>
      </c>
      <c r="G40" s="124">
        <f>(G35*$I28)+(G35*$I29)+(G35*$I30)+(G35*$I31)+(G35*$I32)+(G35*$I33)+(G35*$I34)</f>
        <v>9790</v>
      </c>
      <c r="H40" s="124">
        <f>(H35*$I28)+(H35*$I29)+(H35*$I30)+(H35*$I31)+(H35*$I32)+(H35*$I33)+(H35*$I34)</f>
        <v>0</v>
      </c>
      <c r="I40" s="125">
        <f>SUM(B40:H40)</f>
        <v>12100</v>
      </c>
      <c r="J40" s="127"/>
      <c r="K40" s="125" t="s">
        <v>32</v>
      </c>
      <c r="L40" s="44"/>
      <c r="M40" s="116"/>
      <c r="O40" s="187"/>
      <c r="P40" s="115"/>
      <c r="Q40" s="115"/>
      <c r="R40" s="115"/>
      <c r="S40" s="115"/>
      <c r="T40" s="115"/>
      <c r="U40" t="s">
        <v>111</v>
      </c>
      <c r="V40" s="103">
        <f>U37/U38</f>
        <v>5.9586776859504136E-2</v>
      </c>
      <c r="W40" s="101"/>
      <c r="AA40" s="141" t="s">
        <v>135</v>
      </c>
      <c r="AB40" s="122">
        <f>AB36*AJ28</f>
        <v>483</v>
      </c>
      <c r="AC40" s="122">
        <f>AC36*AJ29</f>
        <v>120</v>
      </c>
      <c r="AD40" s="122">
        <f>AD36*AJ30</f>
        <v>364</v>
      </c>
      <c r="AE40" s="122">
        <f>AE36*AJ31</f>
        <v>728</v>
      </c>
      <c r="AF40" s="122">
        <f>AF36*AJ32</f>
        <v>0</v>
      </c>
      <c r="AG40" s="122">
        <f>AG36*AJ33</f>
        <v>0</v>
      </c>
      <c r="AH40" s="122">
        <f>AH36*AJ34</f>
        <v>0</v>
      </c>
      <c r="AI40" s="122">
        <f>AI36*AJ35</f>
        <v>0</v>
      </c>
      <c r="AJ40" s="123">
        <f>SUM(AB40:AI40)</f>
        <v>1695</v>
      </c>
      <c r="AK40" s="128"/>
      <c r="AL40" s="123"/>
      <c r="AM40" s="44"/>
    </row>
    <row r="41" spans="1:39" ht="30" thickTop="1" thickBot="1">
      <c r="A41" s="13"/>
      <c r="B41" s="115"/>
      <c r="C41" s="115"/>
      <c r="D41" s="115"/>
      <c r="E41" s="115"/>
      <c r="F41" s="115"/>
      <c r="G41" s="115"/>
      <c r="H41" s="115"/>
      <c r="I41" t="s">
        <v>110</v>
      </c>
      <c r="J41" s="102">
        <f>L38</f>
        <v>6.363636363636363E-2</v>
      </c>
      <c r="K41" s="104">
        <f>(J41-J42)/(1-J42)</f>
        <v>1.7005032101336106E-2</v>
      </c>
      <c r="L41" s="44"/>
      <c r="M41" s="116"/>
      <c r="O41" s="13"/>
      <c r="P41" s="100"/>
      <c r="Q41" s="100"/>
      <c r="R41" s="100"/>
      <c r="S41" s="100"/>
      <c r="T41" s="100"/>
      <c r="U41" s="111"/>
      <c r="V41" s="132"/>
      <c r="W41" s="133"/>
      <c r="X41" s="49"/>
      <c r="AA41" s="142" t="s">
        <v>134</v>
      </c>
      <c r="AB41" s="124">
        <f>(AB36*$AJ28)+(AB36*$AJ29)+(AB36*$AJ30)+(AB36*$AJ31)+(AB36*$AJ32)+(AB36*$AJ33)+(AB36*$AJ34)+(AB36*$AJ35)</f>
        <v>7590</v>
      </c>
      <c r="AC41" s="124">
        <f t="shared" ref="AC41:AI41" si="25">(AC36*$AJ28)+(AC36*$AJ29)+(AC36*$AJ30)+(AC36*$AJ31)+(AC36*$AJ32)+(AC36*$AJ33)+(AC36*$AJ34)+(AC36*$AJ35)</f>
        <v>1650</v>
      </c>
      <c r="AD41" s="124">
        <f t="shared" si="25"/>
        <v>1430</v>
      </c>
      <c r="AE41" s="124">
        <f t="shared" si="25"/>
        <v>1430</v>
      </c>
      <c r="AF41" s="124">
        <f t="shared" si="25"/>
        <v>0</v>
      </c>
      <c r="AG41" s="124">
        <f t="shared" si="25"/>
        <v>0</v>
      </c>
      <c r="AH41" s="124">
        <f t="shared" si="25"/>
        <v>0</v>
      </c>
      <c r="AI41" s="124">
        <f>(AI36*$AJ28)+(AI36*$AJ29)+(AI36*$AJ30)+(AI36*$AJ31)+(AI36*$AJ32)+(AI36*$AJ33)+(AI36*$AJ34)+(AI36*$AJ35)</f>
        <v>0</v>
      </c>
      <c r="AJ41" s="125">
        <f>SUM(AB41:AI41)</f>
        <v>12100</v>
      </c>
      <c r="AK41" s="127"/>
      <c r="AL41" s="125" t="s">
        <v>32</v>
      </c>
      <c r="AM41" s="44"/>
    </row>
    <row r="42" spans="1:39" ht="22" thickTop="1">
      <c r="A42" s="187"/>
      <c r="B42" s="115"/>
      <c r="C42" s="115"/>
      <c r="D42" s="115"/>
      <c r="E42" s="115"/>
      <c r="F42" s="115"/>
      <c r="G42" s="115"/>
      <c r="H42" s="115"/>
      <c r="I42" t="s">
        <v>111</v>
      </c>
      <c r="J42" s="103">
        <f>I39/I40</f>
        <v>4.7438016528925618E-2</v>
      </c>
      <c r="K42" s="101"/>
      <c r="O42" s="24"/>
      <c r="P42" s="100"/>
      <c r="Q42" s="100"/>
      <c r="R42" s="100"/>
      <c r="S42" s="100"/>
      <c r="T42" s="100"/>
      <c r="U42" s="111"/>
      <c r="V42" s="132"/>
      <c r="W42" s="101"/>
      <c r="X42" s="24"/>
      <c r="AA42" s="187"/>
      <c r="AB42" s="13"/>
      <c r="AC42" s="115"/>
      <c r="AD42" s="115"/>
      <c r="AE42" s="115"/>
      <c r="AF42" s="115"/>
      <c r="AG42" s="115"/>
      <c r="AJ42" t="s">
        <v>110</v>
      </c>
      <c r="AK42" s="102">
        <f>AM39</f>
        <v>0.23636363636363636</v>
      </c>
      <c r="AL42" s="104">
        <f>(AK42-AK43)/(1-AK43)</f>
        <v>0.11196540124939934</v>
      </c>
      <c r="AM42" s="44"/>
    </row>
    <row r="43" spans="1:39" ht="21">
      <c r="A43" s="24"/>
      <c r="B43" s="126"/>
      <c r="C43" s="126"/>
      <c r="D43" s="126"/>
      <c r="E43" s="126"/>
      <c r="F43" s="126"/>
      <c r="G43" s="126"/>
      <c r="H43" s="126"/>
      <c r="I43" s="134"/>
      <c r="J43" s="135"/>
      <c r="K43" s="136"/>
      <c r="O43" s="24"/>
      <c r="P43" s="24"/>
      <c r="Q43" s="24"/>
      <c r="R43" s="24"/>
      <c r="S43" s="24"/>
      <c r="T43" s="24"/>
      <c r="U43" s="24"/>
      <c r="V43" s="24"/>
      <c r="W43" s="24"/>
      <c r="X43" s="24"/>
      <c r="AA43" s="59"/>
      <c r="AB43" s="187"/>
      <c r="AC43" s="115"/>
      <c r="AD43" s="115"/>
      <c r="AE43" s="115"/>
      <c r="AF43" s="115"/>
      <c r="AG43" s="115"/>
      <c r="AJ43" t="s">
        <v>111</v>
      </c>
      <c r="AK43" s="103">
        <f>AJ40/AJ41</f>
        <v>0.14008264462809916</v>
      </c>
      <c r="AL43" s="101"/>
    </row>
    <row r="44" spans="1:39" ht="21">
      <c r="A44" s="24"/>
      <c r="B44" s="126"/>
      <c r="C44" s="126"/>
      <c r="D44" s="126"/>
      <c r="E44" s="126"/>
      <c r="F44" s="126"/>
      <c r="G44" s="126"/>
      <c r="H44" s="126"/>
      <c r="I44" s="137"/>
      <c r="J44" s="134"/>
      <c r="K44" s="135"/>
      <c r="O44" s="24"/>
      <c r="P44" s="24"/>
      <c r="Q44" s="24"/>
      <c r="R44" s="24"/>
      <c r="S44" s="24"/>
      <c r="T44" s="24"/>
      <c r="U44" s="24"/>
      <c r="V44" s="24"/>
      <c r="W44" s="24"/>
      <c r="X44" s="24"/>
      <c r="AA44" s="24"/>
      <c r="AB44" s="126"/>
      <c r="AC44" s="126"/>
      <c r="AD44" s="126"/>
      <c r="AE44" s="126"/>
      <c r="AF44" s="126"/>
      <c r="AG44" s="126"/>
      <c r="AH44" s="126"/>
      <c r="AI44" s="126"/>
      <c r="AJ44" s="137"/>
      <c r="AK44" s="137"/>
      <c r="AL44" s="137"/>
    </row>
    <row r="45" spans="1:39" ht="21">
      <c r="A45" s="24"/>
      <c r="B45" s="126"/>
      <c r="C45" s="126"/>
      <c r="D45" s="126"/>
      <c r="E45" s="126"/>
      <c r="F45" s="126"/>
      <c r="G45" s="126"/>
      <c r="H45" s="126"/>
      <c r="I45" s="137"/>
      <c r="J45" s="138"/>
      <c r="K45" s="139"/>
      <c r="O45" s="24"/>
      <c r="P45" s="24"/>
      <c r="Q45" s="24"/>
      <c r="R45" s="24"/>
      <c r="S45" s="24"/>
      <c r="T45" s="24"/>
      <c r="U45" s="24"/>
      <c r="V45" s="24"/>
      <c r="W45" s="24"/>
      <c r="X45" s="24"/>
      <c r="AA45" s="24"/>
      <c r="AB45" s="126"/>
      <c r="AC45" s="126"/>
      <c r="AD45" s="126"/>
      <c r="AE45" s="126"/>
      <c r="AF45" s="126"/>
      <c r="AG45" s="126"/>
      <c r="AH45" s="126"/>
      <c r="AI45" s="126"/>
      <c r="AJ45" s="137"/>
      <c r="AK45" s="137"/>
      <c r="AL45" s="137"/>
    </row>
    <row r="46" spans="1:39" ht="17" thickBot="1">
      <c r="A46" s="188" t="s">
        <v>8</v>
      </c>
      <c r="B46" s="188"/>
      <c r="C46" s="188"/>
      <c r="D46" s="188"/>
      <c r="E46" s="188"/>
      <c r="F46" s="188"/>
      <c r="G46" s="188"/>
      <c r="H46" s="188"/>
      <c r="I46" s="188"/>
      <c r="J46" s="188"/>
      <c r="K46" s="188"/>
      <c r="L46" s="6"/>
      <c r="M46" s="112"/>
      <c r="O46" s="188" t="s">
        <v>8</v>
      </c>
      <c r="P46" s="188"/>
      <c r="Q46" s="188"/>
      <c r="R46" s="188"/>
      <c r="S46" s="188"/>
      <c r="T46" s="188"/>
      <c r="U46" s="188"/>
      <c r="V46" s="188"/>
      <c r="W46" s="188"/>
      <c r="X46" s="190"/>
      <c r="AA46" s="188" t="s">
        <v>8</v>
      </c>
      <c r="AB46" s="188"/>
      <c r="AC46" s="188"/>
      <c r="AD46" s="188"/>
      <c r="AE46" s="188"/>
      <c r="AF46" s="188"/>
      <c r="AG46" s="188"/>
      <c r="AH46" s="188"/>
      <c r="AI46" s="188"/>
      <c r="AJ46" s="188"/>
      <c r="AK46" s="188"/>
      <c r="AL46" s="6"/>
    </row>
    <row r="47" spans="1:39" ht="91" thickBot="1">
      <c r="A47" s="8" t="s">
        <v>39</v>
      </c>
      <c r="B47" s="9" t="s">
        <v>10</v>
      </c>
      <c r="C47" s="9" t="s">
        <v>11</v>
      </c>
      <c r="D47" s="9" t="s">
        <v>12</v>
      </c>
      <c r="E47" s="9" t="s">
        <v>13</v>
      </c>
      <c r="F47" s="9" t="s">
        <v>14</v>
      </c>
      <c r="G47" s="9" t="s">
        <v>15</v>
      </c>
      <c r="H47" s="9" t="s">
        <v>16</v>
      </c>
      <c r="I47" s="10" t="s">
        <v>17</v>
      </c>
      <c r="J47" s="11" t="s">
        <v>18</v>
      </c>
      <c r="K47" s="12" t="s">
        <v>19</v>
      </c>
      <c r="L47" s="13"/>
      <c r="M47" s="114"/>
      <c r="O47" s="8" t="s">
        <v>40</v>
      </c>
      <c r="P47" s="9" t="s">
        <v>10</v>
      </c>
      <c r="Q47" s="9" t="s">
        <v>11</v>
      </c>
      <c r="R47" s="9" t="s">
        <v>21</v>
      </c>
      <c r="S47" s="9" t="s">
        <v>22</v>
      </c>
      <c r="T47" s="9" t="s">
        <v>16</v>
      </c>
      <c r="U47" s="10" t="s">
        <v>17</v>
      </c>
      <c r="V47" s="15" t="s">
        <v>18</v>
      </c>
      <c r="W47" s="12" t="s">
        <v>19</v>
      </c>
      <c r="X47" s="16"/>
      <c r="AA47" s="8" t="s">
        <v>41</v>
      </c>
      <c r="AB47" s="17" t="s">
        <v>24</v>
      </c>
      <c r="AC47" s="17" t="s">
        <v>25</v>
      </c>
      <c r="AD47" s="17" t="s">
        <v>26</v>
      </c>
      <c r="AE47" s="17" t="s">
        <v>27</v>
      </c>
      <c r="AF47" s="17" t="s">
        <v>28</v>
      </c>
      <c r="AG47" s="17" t="s">
        <v>29</v>
      </c>
      <c r="AH47" s="17" t="s">
        <v>30</v>
      </c>
      <c r="AI47" s="17" t="s">
        <v>16</v>
      </c>
      <c r="AJ47" s="18" t="s">
        <v>17</v>
      </c>
      <c r="AK47" s="18" t="s">
        <v>18</v>
      </c>
      <c r="AL47" s="19" t="s">
        <v>19</v>
      </c>
    </row>
    <row r="48" spans="1:39" ht="56">
      <c r="A48" s="20" t="s">
        <v>10</v>
      </c>
      <c r="B48" s="13"/>
      <c r="C48" s="13"/>
      <c r="D48" s="13"/>
      <c r="E48" s="13">
        <v>1</v>
      </c>
      <c r="F48" s="13">
        <v>1</v>
      </c>
      <c r="G48" s="13"/>
      <c r="H48" s="13"/>
      <c r="I48" s="21">
        <f t="shared" ref="I48:I55" si="26">SUM(B48:H48)</f>
        <v>2</v>
      </c>
      <c r="J48" s="22">
        <f>1-K48</f>
        <v>1</v>
      </c>
      <c r="K48" s="23">
        <f>0/8</f>
        <v>0</v>
      </c>
      <c r="L48" s="21"/>
      <c r="M48" s="115"/>
      <c r="O48" s="20" t="s">
        <v>10</v>
      </c>
      <c r="P48" s="13"/>
      <c r="Q48" s="13"/>
      <c r="R48" s="13">
        <v>1</v>
      </c>
      <c r="S48" s="13">
        <v>1</v>
      </c>
      <c r="T48" s="13"/>
      <c r="U48" s="21">
        <f t="shared" ref="U48:U53" si="27">SUM(P48:T48)</f>
        <v>2</v>
      </c>
      <c r="V48" s="25">
        <f>1-W48</f>
        <v>1</v>
      </c>
      <c r="W48" s="23">
        <f>P48/U48</f>
        <v>0</v>
      </c>
      <c r="X48" s="21"/>
      <c r="AA48" s="26" t="s">
        <v>24</v>
      </c>
      <c r="AB48" s="27"/>
      <c r="AC48" s="28"/>
      <c r="AD48" s="28"/>
      <c r="AE48" s="28"/>
      <c r="AF48" s="28"/>
      <c r="AG48" s="28"/>
      <c r="AH48" s="28"/>
      <c r="AI48" s="110"/>
      <c r="AJ48" s="29">
        <f t="shared" ref="AJ48:AJ54" si="28">SUM(AB48:AH48)</f>
        <v>0</v>
      </c>
      <c r="AK48" s="30">
        <f>1-AL48</f>
        <v>0</v>
      </c>
      <c r="AL48" s="31">
        <v>1</v>
      </c>
    </row>
    <row r="49" spans="1:39" ht="45">
      <c r="A49" s="20" t="s">
        <v>11</v>
      </c>
      <c r="B49" s="13"/>
      <c r="C49" s="13"/>
      <c r="D49" s="13"/>
      <c r="E49" s="13"/>
      <c r="F49" s="13">
        <v>2</v>
      </c>
      <c r="G49" s="13">
        <v>8</v>
      </c>
      <c r="H49" s="13"/>
      <c r="I49" s="21">
        <f t="shared" si="26"/>
        <v>10</v>
      </c>
      <c r="J49" s="22">
        <f t="shared" ref="J49:J54" si="29">1-K49</f>
        <v>1</v>
      </c>
      <c r="K49" s="23">
        <f>C49/I49</f>
        <v>0</v>
      </c>
      <c r="L49" s="21"/>
      <c r="M49" s="115"/>
      <c r="O49" s="20" t="s">
        <v>11</v>
      </c>
      <c r="P49" s="13"/>
      <c r="Q49" s="13"/>
      <c r="R49" s="13"/>
      <c r="S49" s="13"/>
      <c r="T49" s="13"/>
      <c r="U49" s="21">
        <f t="shared" si="27"/>
        <v>0</v>
      </c>
      <c r="V49" s="25">
        <f t="shared" ref="V49:V52" si="30">1-W49</f>
        <v>0</v>
      </c>
      <c r="W49" s="23">
        <v>1</v>
      </c>
      <c r="X49" s="21"/>
      <c r="AA49" s="32" t="s">
        <v>25</v>
      </c>
      <c r="AB49" s="16">
        <v>4</v>
      </c>
      <c r="AC49" s="13">
        <v>1</v>
      </c>
      <c r="AD49" s="13">
        <v>3</v>
      </c>
      <c r="AE49" s="13"/>
      <c r="AF49" s="13"/>
      <c r="AG49" s="13"/>
      <c r="AH49" s="13"/>
      <c r="AI49" s="110"/>
      <c r="AJ49" s="21">
        <f t="shared" si="28"/>
        <v>8</v>
      </c>
      <c r="AK49" s="25">
        <f>1-AL49</f>
        <v>0.875</v>
      </c>
      <c r="AL49" s="23">
        <f>AC49/AJ49</f>
        <v>0.125</v>
      </c>
    </row>
    <row r="50" spans="1:39" ht="45">
      <c r="A50" s="20" t="s">
        <v>12</v>
      </c>
      <c r="B50" s="13"/>
      <c r="C50" s="13"/>
      <c r="D50" s="13"/>
      <c r="E50" s="13"/>
      <c r="F50" s="13"/>
      <c r="G50" s="13"/>
      <c r="H50" s="13"/>
      <c r="I50" s="21">
        <f t="shared" si="26"/>
        <v>0</v>
      </c>
      <c r="J50" s="22">
        <f t="shared" si="29"/>
        <v>0</v>
      </c>
      <c r="K50" s="23">
        <v>1</v>
      </c>
      <c r="L50" s="21"/>
      <c r="M50" s="115"/>
      <c r="O50" s="20" t="s">
        <v>21</v>
      </c>
      <c r="P50" s="13"/>
      <c r="Q50" s="13"/>
      <c r="R50" s="13">
        <v>6</v>
      </c>
      <c r="S50" s="13">
        <v>102</v>
      </c>
      <c r="T50" s="13"/>
      <c r="U50" s="21">
        <f t="shared" si="27"/>
        <v>108</v>
      </c>
      <c r="V50" s="25">
        <f t="shared" si="30"/>
        <v>0.94444444444444442</v>
      </c>
      <c r="W50" s="23">
        <f>R50/U50</f>
        <v>5.5555555555555552E-2</v>
      </c>
      <c r="X50" s="21"/>
      <c r="AA50" s="32" t="s">
        <v>26</v>
      </c>
      <c r="AB50" s="16">
        <v>10</v>
      </c>
      <c r="AC50" s="13">
        <v>5</v>
      </c>
      <c r="AD50" s="13">
        <v>10</v>
      </c>
      <c r="AE50" s="13">
        <v>1</v>
      </c>
      <c r="AF50" s="13"/>
      <c r="AG50" s="13"/>
      <c r="AH50" s="13"/>
      <c r="AI50" s="110"/>
      <c r="AJ50" s="21">
        <f t="shared" si="28"/>
        <v>26</v>
      </c>
      <c r="AK50" s="25">
        <f t="shared" ref="AK50:AK55" si="31">1-AL50</f>
        <v>0.61538461538461542</v>
      </c>
      <c r="AL50" s="23">
        <f>AD50/AJ50</f>
        <v>0.38461538461538464</v>
      </c>
    </row>
    <row r="51" spans="1:39" ht="42">
      <c r="A51" s="20" t="s">
        <v>13</v>
      </c>
      <c r="B51" s="13"/>
      <c r="C51" s="13"/>
      <c r="D51" s="13"/>
      <c r="E51" s="13">
        <v>6</v>
      </c>
      <c r="F51" s="13">
        <v>11</v>
      </c>
      <c r="G51" s="13">
        <v>81</v>
      </c>
      <c r="H51" s="13"/>
      <c r="I51" s="21">
        <f t="shared" si="26"/>
        <v>98</v>
      </c>
      <c r="J51" s="22">
        <f t="shared" si="29"/>
        <v>0.93877551020408168</v>
      </c>
      <c r="K51" s="23">
        <f>E51/I51</f>
        <v>6.1224489795918366E-2</v>
      </c>
      <c r="L51" s="21"/>
      <c r="M51" s="115"/>
      <c r="O51" s="20" t="s">
        <v>22</v>
      </c>
      <c r="P51" s="13"/>
      <c r="Q51" s="13"/>
      <c r="R51" s="13"/>
      <c r="S51" s="13"/>
      <c r="T51" s="13"/>
      <c r="U51" s="21">
        <f t="shared" si="27"/>
        <v>0</v>
      </c>
      <c r="V51" s="25">
        <f t="shared" si="30"/>
        <v>0</v>
      </c>
      <c r="W51" s="23">
        <v>1</v>
      </c>
      <c r="X51" s="21"/>
      <c r="AA51" s="32" t="s">
        <v>27</v>
      </c>
      <c r="AB51" s="16">
        <v>53</v>
      </c>
      <c r="AC51" s="13">
        <v>8</v>
      </c>
      <c r="AD51" s="13"/>
      <c r="AE51" s="13">
        <v>11</v>
      </c>
      <c r="AF51" s="13"/>
      <c r="AG51" s="13"/>
      <c r="AH51" s="13"/>
      <c r="AI51" s="110"/>
      <c r="AJ51" s="21">
        <f t="shared" si="28"/>
        <v>72</v>
      </c>
      <c r="AK51" s="25">
        <f t="shared" si="31"/>
        <v>0.84722222222222221</v>
      </c>
      <c r="AL51" s="23">
        <f>AE51/AJ51</f>
        <v>0.15277777777777779</v>
      </c>
    </row>
    <row r="52" spans="1:39" ht="45">
      <c r="A52" s="20" t="s">
        <v>14</v>
      </c>
      <c r="B52" s="13"/>
      <c r="C52" s="13"/>
      <c r="D52" s="13"/>
      <c r="E52" s="13"/>
      <c r="F52" s="13"/>
      <c r="G52" s="13"/>
      <c r="H52" s="13"/>
      <c r="I52" s="21">
        <f t="shared" si="26"/>
        <v>0</v>
      </c>
      <c r="J52" s="22">
        <f t="shared" si="29"/>
        <v>0</v>
      </c>
      <c r="K52" s="23">
        <v>1</v>
      </c>
      <c r="L52" s="21"/>
      <c r="M52" s="115"/>
      <c r="O52" s="20" t="s">
        <v>16</v>
      </c>
      <c r="P52" s="13"/>
      <c r="Q52" s="13"/>
      <c r="R52" s="13"/>
      <c r="S52" s="13"/>
      <c r="T52" s="13"/>
      <c r="U52" s="21">
        <f t="shared" si="27"/>
        <v>0</v>
      </c>
      <c r="V52" s="25">
        <f t="shared" si="30"/>
        <v>0</v>
      </c>
      <c r="W52" s="23">
        <v>1</v>
      </c>
      <c r="X52" s="21"/>
      <c r="AA52" s="32" t="s">
        <v>28</v>
      </c>
      <c r="AB52" s="16"/>
      <c r="AC52" s="13"/>
      <c r="AD52" s="13"/>
      <c r="AE52" s="13"/>
      <c r="AF52" s="13"/>
      <c r="AG52" s="13"/>
      <c r="AH52" s="13"/>
      <c r="AI52" s="110"/>
      <c r="AJ52" s="21">
        <f t="shared" si="28"/>
        <v>0</v>
      </c>
      <c r="AK52" s="25">
        <f t="shared" si="31"/>
        <v>0</v>
      </c>
      <c r="AL52" s="23">
        <v>1</v>
      </c>
    </row>
    <row r="53" spans="1:39" ht="30">
      <c r="A53" s="20" t="s">
        <v>15</v>
      </c>
      <c r="B53" s="13"/>
      <c r="C53" s="13"/>
      <c r="D53" s="13"/>
      <c r="E53" s="13"/>
      <c r="F53" s="13"/>
      <c r="G53" s="13"/>
      <c r="H53" s="13"/>
      <c r="I53" s="21">
        <f t="shared" si="26"/>
        <v>0</v>
      </c>
      <c r="J53" s="22">
        <f t="shared" si="29"/>
        <v>0</v>
      </c>
      <c r="K53" s="23">
        <v>1</v>
      </c>
      <c r="L53" s="21"/>
      <c r="M53" s="115"/>
      <c r="O53" s="33" t="s">
        <v>17</v>
      </c>
      <c r="P53" s="21">
        <f>SUM(P48:P52)</f>
        <v>0</v>
      </c>
      <c r="Q53" s="21">
        <f>SUM(Q48:Q52)</f>
        <v>0</v>
      </c>
      <c r="R53" s="21">
        <f>SUM(R48:R52)</f>
        <v>7</v>
      </c>
      <c r="S53" s="21">
        <f>SUM(S48:S52)</f>
        <v>103</v>
      </c>
      <c r="T53" s="21">
        <f>SUM(T48:T52)</f>
        <v>0</v>
      </c>
      <c r="U53" s="21">
        <f t="shared" si="27"/>
        <v>110</v>
      </c>
      <c r="V53" s="21"/>
      <c r="W53" s="34"/>
      <c r="X53" s="21"/>
      <c r="AA53" s="32" t="s">
        <v>29</v>
      </c>
      <c r="AB53" s="16"/>
      <c r="AC53" s="13"/>
      <c r="AD53" s="13"/>
      <c r="AE53" s="13"/>
      <c r="AF53" s="13"/>
      <c r="AG53" s="13"/>
      <c r="AH53" s="13"/>
      <c r="AI53" s="110"/>
      <c r="AJ53" s="21">
        <f t="shared" si="28"/>
        <v>0</v>
      </c>
      <c r="AK53" s="25">
        <f t="shared" si="31"/>
        <v>0</v>
      </c>
      <c r="AL53" s="23">
        <v>1</v>
      </c>
    </row>
    <row r="54" spans="1:39" ht="45">
      <c r="A54" s="20" t="s">
        <v>16</v>
      </c>
      <c r="B54" s="13"/>
      <c r="C54" s="13"/>
      <c r="D54" s="13"/>
      <c r="E54" s="13"/>
      <c r="F54" s="13"/>
      <c r="G54" s="13"/>
      <c r="H54" s="13"/>
      <c r="I54" s="21">
        <f t="shared" si="26"/>
        <v>0</v>
      </c>
      <c r="J54" s="22">
        <f t="shared" si="29"/>
        <v>0</v>
      </c>
      <c r="K54" s="23">
        <v>1</v>
      </c>
      <c r="L54" s="21"/>
      <c r="M54" s="115"/>
      <c r="O54" s="33" t="s">
        <v>31</v>
      </c>
      <c r="P54" s="25">
        <f>1-P55</f>
        <v>0</v>
      </c>
      <c r="Q54" s="25">
        <f t="shared" ref="Q54:T54" si="32">1-Q55</f>
        <v>0</v>
      </c>
      <c r="R54" s="25">
        <f t="shared" si="32"/>
        <v>0.1428571428571429</v>
      </c>
      <c r="S54" s="25">
        <f t="shared" si="32"/>
        <v>1</v>
      </c>
      <c r="T54" s="25">
        <f t="shared" si="32"/>
        <v>0</v>
      </c>
      <c r="U54" s="13"/>
      <c r="V54" s="35" t="s">
        <v>32</v>
      </c>
      <c r="W54" s="36">
        <f>W59</f>
        <v>-8.4626234132581125E-3</v>
      </c>
      <c r="X54" s="21"/>
      <c r="AA54" s="32" t="s">
        <v>30</v>
      </c>
      <c r="AB54" s="16"/>
      <c r="AC54" s="13"/>
      <c r="AD54" s="13"/>
      <c r="AE54" s="13"/>
      <c r="AF54" s="13"/>
      <c r="AG54" s="13"/>
      <c r="AH54" s="13"/>
      <c r="AI54" s="110"/>
      <c r="AJ54" s="21">
        <f t="shared" si="28"/>
        <v>0</v>
      </c>
      <c r="AK54" s="25">
        <f t="shared" si="31"/>
        <v>0</v>
      </c>
      <c r="AL54" s="23">
        <v>1</v>
      </c>
    </row>
    <row r="55" spans="1:39" ht="29" thickBot="1">
      <c r="A55" s="33" t="s">
        <v>17</v>
      </c>
      <c r="B55" s="21">
        <f t="shared" ref="B55:H55" si="33">SUM(B48:B54)</f>
        <v>0</v>
      </c>
      <c r="C55" s="21">
        <f t="shared" si="33"/>
        <v>0</v>
      </c>
      <c r="D55" s="21">
        <f t="shared" si="33"/>
        <v>0</v>
      </c>
      <c r="E55" s="21">
        <f t="shared" si="33"/>
        <v>7</v>
      </c>
      <c r="F55" s="21">
        <f t="shared" si="33"/>
        <v>14</v>
      </c>
      <c r="G55" s="21">
        <f t="shared" si="33"/>
        <v>89</v>
      </c>
      <c r="H55" s="21">
        <f t="shared" si="33"/>
        <v>0</v>
      </c>
      <c r="I55" s="21">
        <f t="shared" si="26"/>
        <v>110</v>
      </c>
      <c r="J55" s="37"/>
      <c r="K55" s="34"/>
      <c r="L55" s="21"/>
      <c r="M55" s="115"/>
      <c r="O55" s="38" t="s">
        <v>33</v>
      </c>
      <c r="P55" s="39">
        <v>1</v>
      </c>
      <c r="Q55" s="40">
        <v>1</v>
      </c>
      <c r="R55" s="40">
        <f>R50/R53</f>
        <v>0.8571428571428571</v>
      </c>
      <c r="S55" s="40">
        <f>S51/S53</f>
        <v>0</v>
      </c>
      <c r="T55" s="39">
        <v>1</v>
      </c>
      <c r="U55" s="41"/>
      <c r="V55" s="42" t="s">
        <v>34</v>
      </c>
      <c r="W55" s="43">
        <f>X56</f>
        <v>5.4545454545454543E-2</v>
      </c>
      <c r="X55" s="44"/>
      <c r="AA55" s="45" t="s">
        <v>16</v>
      </c>
      <c r="AB55" s="110">
        <v>2</v>
      </c>
      <c r="AC55" s="110">
        <v>1</v>
      </c>
      <c r="AD55" s="110"/>
      <c r="AE55" s="110">
        <v>1</v>
      </c>
      <c r="AF55" s="110"/>
      <c r="AG55" s="110"/>
      <c r="AH55" s="110"/>
      <c r="AI55" s="110"/>
      <c r="AJ55" s="21">
        <f>SUM(AB55:AI55)</f>
        <v>4</v>
      </c>
      <c r="AK55" s="25">
        <f t="shared" si="31"/>
        <v>1</v>
      </c>
      <c r="AL55" s="23">
        <f>AI55/AJ55</f>
        <v>0</v>
      </c>
    </row>
    <row r="56" spans="1:39" ht="28">
      <c r="A56" s="33" t="s">
        <v>31</v>
      </c>
      <c r="B56" s="25">
        <f>1-B57</f>
        <v>0</v>
      </c>
      <c r="C56" s="25">
        <f t="shared" ref="C56:H56" si="34">1-C57</f>
        <v>0</v>
      </c>
      <c r="D56" s="25">
        <f t="shared" si="34"/>
        <v>0</v>
      </c>
      <c r="E56" s="25">
        <f t="shared" si="34"/>
        <v>0.1428571428571429</v>
      </c>
      <c r="F56" s="25">
        <f t="shared" si="34"/>
        <v>1</v>
      </c>
      <c r="G56" s="25">
        <f t="shared" si="34"/>
        <v>1</v>
      </c>
      <c r="H56" s="25">
        <f t="shared" si="34"/>
        <v>0</v>
      </c>
      <c r="I56" s="49"/>
      <c r="J56" s="46" t="s">
        <v>32</v>
      </c>
      <c r="K56" s="36">
        <f>K61</f>
        <v>-2.2779043280182266E-3</v>
      </c>
      <c r="L56" s="21"/>
      <c r="M56" s="115"/>
      <c r="O56" s="129" t="s">
        <v>136</v>
      </c>
      <c r="V56" s="4"/>
      <c r="X56" s="50">
        <f>SUM(P48,Q49,R50,S51,T52)/U53</f>
        <v>5.4545454545454543E-2</v>
      </c>
      <c r="AA56" s="33" t="s">
        <v>17</v>
      </c>
      <c r="AB56" s="21">
        <f t="shared" ref="AB56:AH56" si="35">SUM(AB48:AB55)</f>
        <v>69</v>
      </c>
      <c r="AC56" s="21">
        <f t="shared" si="35"/>
        <v>15</v>
      </c>
      <c r="AD56" s="21">
        <f t="shared" si="35"/>
        <v>13</v>
      </c>
      <c r="AE56" s="21">
        <f t="shared" si="35"/>
        <v>13</v>
      </c>
      <c r="AF56" s="21">
        <f t="shared" si="35"/>
        <v>0</v>
      </c>
      <c r="AG56" s="21">
        <f t="shared" si="35"/>
        <v>0</v>
      </c>
      <c r="AH56" s="21">
        <f t="shared" si="35"/>
        <v>0</v>
      </c>
      <c r="AI56" s="21">
        <f>SUM(AI48:AI55)</f>
        <v>0</v>
      </c>
      <c r="AJ56" s="21">
        <f>SUM(AB56:AI56)</f>
        <v>110</v>
      </c>
      <c r="AL56" s="51"/>
    </row>
    <row r="57" spans="1:39" ht="29" thickBot="1">
      <c r="A57" s="38" t="s">
        <v>33</v>
      </c>
      <c r="B57" s="39">
        <v>1</v>
      </c>
      <c r="C57" s="40">
        <v>1</v>
      </c>
      <c r="D57" s="40">
        <v>1</v>
      </c>
      <c r="E57" s="40">
        <f>E51/E55</f>
        <v>0.8571428571428571</v>
      </c>
      <c r="F57" s="40">
        <f>F52/F55</f>
        <v>0</v>
      </c>
      <c r="G57" s="40">
        <f>G53/G55</f>
        <v>0</v>
      </c>
      <c r="H57" s="39">
        <v>1</v>
      </c>
      <c r="I57" s="41"/>
      <c r="J57" s="52" t="s">
        <v>34</v>
      </c>
      <c r="K57" s="43">
        <f>L58</f>
        <v>5.4545454545454543E-2</v>
      </c>
      <c r="L57" s="44"/>
      <c r="M57" s="116"/>
      <c r="O57" s="141" t="s">
        <v>135</v>
      </c>
      <c r="P57" s="122">
        <f>P53*U48</f>
        <v>0</v>
      </c>
      <c r="Q57" s="122">
        <f>Q53*U49</f>
        <v>0</v>
      </c>
      <c r="R57" s="122">
        <f>R53*U50</f>
        <v>756</v>
      </c>
      <c r="S57" s="122">
        <f>S53*U51</f>
        <v>0</v>
      </c>
      <c r="T57" s="122">
        <f>T53*U52</f>
        <v>0</v>
      </c>
      <c r="U57" s="123">
        <f>SUM(N57:T57)</f>
        <v>756</v>
      </c>
      <c r="V57" s="128"/>
      <c r="W57" s="123"/>
      <c r="X57" s="44"/>
      <c r="AA57" s="33" t="s">
        <v>35</v>
      </c>
      <c r="AB57" s="53">
        <f>1-AB58</f>
        <v>1</v>
      </c>
      <c r="AC57" s="54">
        <f>1-AC58</f>
        <v>0.93333333333333335</v>
      </c>
      <c r="AD57" s="54">
        <f t="shared" ref="AD57:AI57" si="36">1-AD58</f>
        <v>0.23076923076923073</v>
      </c>
      <c r="AE57" s="54">
        <f t="shared" si="36"/>
        <v>0.15384615384615385</v>
      </c>
      <c r="AF57" s="54">
        <f t="shared" si="36"/>
        <v>0</v>
      </c>
      <c r="AG57" s="54">
        <f t="shared" si="36"/>
        <v>0</v>
      </c>
      <c r="AH57" s="54">
        <f t="shared" si="36"/>
        <v>0</v>
      </c>
      <c r="AI57" s="54">
        <f t="shared" si="36"/>
        <v>0</v>
      </c>
      <c r="AK57" s="35" t="s">
        <v>32</v>
      </c>
      <c r="AL57" s="36">
        <f>AL62</f>
        <v>9.5834111713058112E-2</v>
      </c>
    </row>
    <row r="58" spans="1:39" ht="33" thickBot="1">
      <c r="A58" s="129" t="s">
        <v>136</v>
      </c>
      <c r="L58" s="50">
        <f>SUM(B48,C49,D50,E51,F52,G53,H54)/I55</f>
        <v>5.4545454545454543E-2</v>
      </c>
      <c r="M58" s="113"/>
      <c r="O58" s="142" t="s">
        <v>134</v>
      </c>
      <c r="P58" s="124">
        <f>(P53*$U48)+(P53*$U49)+(P53*$U50)+(P53*$U51)+(P53*$U52)</f>
        <v>0</v>
      </c>
      <c r="Q58" s="124">
        <f t="shared" ref="Q58:T58" si="37">(Q53*$U48)+(Q53*$U49)+(Q53*$U50)+(Q53*$U51)+(Q53*$U52)</f>
        <v>0</v>
      </c>
      <c r="R58" s="124">
        <f t="shared" si="37"/>
        <v>770</v>
      </c>
      <c r="S58" s="124">
        <f t="shared" si="37"/>
        <v>11330</v>
      </c>
      <c r="T58" s="124">
        <f t="shared" si="37"/>
        <v>0</v>
      </c>
      <c r="U58" s="125">
        <f>SUM(N58:T58)</f>
        <v>12100</v>
      </c>
      <c r="V58" s="127"/>
      <c r="W58" s="125" t="s">
        <v>32</v>
      </c>
      <c r="X58" s="44"/>
      <c r="AA58" s="38" t="s">
        <v>33</v>
      </c>
      <c r="AB58" s="56">
        <f>AB48/AB56</f>
        <v>0</v>
      </c>
      <c r="AC58" s="57">
        <f>AC49/AC56</f>
        <v>6.6666666666666666E-2</v>
      </c>
      <c r="AD58" s="57">
        <f>AD50/AD56</f>
        <v>0.76923076923076927</v>
      </c>
      <c r="AE58" s="57">
        <f>AE51/AE56</f>
        <v>0.84615384615384615</v>
      </c>
      <c r="AF58" s="57">
        <v>1</v>
      </c>
      <c r="AG58" s="57">
        <v>1</v>
      </c>
      <c r="AH58" s="57">
        <v>1</v>
      </c>
      <c r="AI58" s="57">
        <v>1</v>
      </c>
      <c r="AJ58" s="41"/>
      <c r="AK58" s="42" t="s">
        <v>34</v>
      </c>
      <c r="AL58" s="43">
        <f>AM59</f>
        <v>0.2</v>
      </c>
    </row>
    <row r="59" spans="1:39" ht="22" thickTop="1">
      <c r="A59" s="130" t="s">
        <v>135</v>
      </c>
      <c r="B59" s="122">
        <f>B55*I48</f>
        <v>0</v>
      </c>
      <c r="C59" s="122">
        <f>C55*I49</f>
        <v>0</v>
      </c>
      <c r="D59" s="122">
        <f>D55*I50</f>
        <v>0</v>
      </c>
      <c r="E59" s="122">
        <f>E55*I51</f>
        <v>686</v>
      </c>
      <c r="F59" s="122">
        <f>F55*I52</f>
        <v>0</v>
      </c>
      <c r="G59" s="122">
        <f>G55*I53</f>
        <v>0</v>
      </c>
      <c r="H59" s="122">
        <f>H55*I54</f>
        <v>0</v>
      </c>
      <c r="I59" s="123">
        <f>SUM(B59:H59)</f>
        <v>686</v>
      </c>
      <c r="J59" s="128"/>
      <c r="K59" s="123"/>
      <c r="L59" s="44"/>
      <c r="M59" s="116"/>
      <c r="O59" s="13"/>
      <c r="P59" s="115"/>
      <c r="Q59" s="115"/>
      <c r="R59" s="115"/>
      <c r="S59" s="115"/>
      <c r="T59" s="115"/>
      <c r="U59" t="s">
        <v>110</v>
      </c>
      <c r="V59" s="102">
        <f>X56</f>
        <v>5.4545454545454543E-2</v>
      </c>
      <c r="W59" s="104">
        <f>(V59-V60)/(1-V60)</f>
        <v>-8.4626234132581125E-3</v>
      </c>
      <c r="X59" s="44"/>
      <c r="AA59" s="129" t="s">
        <v>136</v>
      </c>
      <c r="AK59" s="4"/>
      <c r="AM59" s="50">
        <f>SUM(AB48,AC49,AD50,AE51,AF52,AG53,AH54,AI55)/AJ56</f>
        <v>0.2</v>
      </c>
    </row>
    <row r="60" spans="1:39" ht="29" thickBot="1">
      <c r="A60" s="131" t="s">
        <v>134</v>
      </c>
      <c r="B60" s="124">
        <f>(B55*$I48)+(B55*$I49)+(B55*$I50)+(B55*$I51)+(B55*$I52)+(B55*$I53)+(B55*$I54)</f>
        <v>0</v>
      </c>
      <c r="C60" s="124">
        <f>(C55*$I48)+(C55*$I49)+(C55*$I50)+(C55*$I51)+(C55*$I52)+(C55*$I53)+(C55*$I54)</f>
        <v>0</v>
      </c>
      <c r="D60" s="124">
        <f>(D55*$I48)+(D55*$I49)+(D55*$I50)+(D55*$I51)+(D55*$I52)+(D55*$I53)+(D55*$I54)</f>
        <v>0</v>
      </c>
      <c r="E60" s="124">
        <f>(E55*$I48)+(E55*$I49)+(E55*$I50)+(E55*$I51)+(E55*$I52)+(E55*$I53)+(E55*$I54)</f>
        <v>770</v>
      </c>
      <c r="F60" s="124">
        <f>(F55*$I48)+(F55*$I49)+(F55*$I50)+(F55*$I51)+(F55*$I52)+(F55*$I53)+(F55*$I54)</f>
        <v>1540</v>
      </c>
      <c r="G60" s="124">
        <f>(G55*$I48)+(G55*$I49)+(G55*$I50)+(G55*$I51)+(G55*$I52)+(G55*$I53)+(G55*$I54)</f>
        <v>9790</v>
      </c>
      <c r="H60" s="124">
        <f>(H55*$I48)+(H55*$I49)+(H55*$I50)+(H55*$I51)+(H55*$I52)+(H55*$I53)+(H55*$I54)</f>
        <v>0</v>
      </c>
      <c r="I60" s="125">
        <f>SUM(B60:H60)</f>
        <v>12100</v>
      </c>
      <c r="J60" s="127"/>
      <c r="K60" s="125" t="s">
        <v>32</v>
      </c>
      <c r="L60" s="44"/>
      <c r="M60" s="116"/>
      <c r="O60" s="187"/>
      <c r="P60" s="115"/>
      <c r="Q60" s="115"/>
      <c r="R60" s="115"/>
      <c r="S60" s="115"/>
      <c r="T60" s="115"/>
      <c r="U60" t="s">
        <v>111</v>
      </c>
      <c r="V60" s="103">
        <f>U57/U58</f>
        <v>6.2479338842975206E-2</v>
      </c>
      <c r="W60" s="101"/>
      <c r="AA60" s="141" t="s">
        <v>135</v>
      </c>
      <c r="AB60" s="122">
        <f>AB56*AJ48</f>
        <v>0</v>
      </c>
      <c r="AC60" s="122">
        <f>AC56*AJ49</f>
        <v>120</v>
      </c>
      <c r="AD60" s="122">
        <f>AD56*AJ50</f>
        <v>338</v>
      </c>
      <c r="AE60" s="122">
        <f>AE56*AJ51</f>
        <v>936</v>
      </c>
      <c r="AF60" s="122">
        <f>AF56*AJ52</f>
        <v>0</v>
      </c>
      <c r="AG60" s="122">
        <f>AG56*AJ53</f>
        <v>0</v>
      </c>
      <c r="AH60" s="122">
        <f>AH56*AJ54</f>
        <v>0</v>
      </c>
      <c r="AI60" s="122">
        <f>AI56*AJ55</f>
        <v>0</v>
      </c>
      <c r="AJ60" s="123">
        <f>SUM(AB60:AI60)</f>
        <v>1394</v>
      </c>
      <c r="AK60" s="128"/>
      <c r="AL60" s="123"/>
      <c r="AM60" s="44"/>
    </row>
    <row r="61" spans="1:39" ht="30" thickTop="1" thickBot="1">
      <c r="A61" s="13"/>
      <c r="B61" s="115"/>
      <c r="C61" s="115"/>
      <c r="D61" s="115"/>
      <c r="E61" s="115"/>
      <c r="F61" s="115"/>
      <c r="G61" s="115"/>
      <c r="H61" s="115"/>
      <c r="I61" t="s">
        <v>110</v>
      </c>
      <c r="J61" s="102">
        <f>L58</f>
        <v>5.4545454545454543E-2</v>
      </c>
      <c r="K61" s="104">
        <f>(J61-J62)/(1-J62)</f>
        <v>-2.2779043280182266E-3</v>
      </c>
      <c r="L61" s="44"/>
      <c r="M61" s="116"/>
      <c r="O61" s="13"/>
      <c r="P61" s="100"/>
      <c r="Q61" s="100"/>
      <c r="R61" s="100"/>
      <c r="S61" s="100"/>
      <c r="T61" s="100"/>
      <c r="U61" s="111"/>
      <c r="V61" s="132"/>
      <c r="W61" s="133"/>
      <c r="X61" s="49"/>
      <c r="AA61" s="142" t="s">
        <v>134</v>
      </c>
      <c r="AB61" s="124">
        <f>(AB56*$AJ48)+(AB56*$AJ49)+(AB56*$AJ50)+(AB56*$AJ51)+(AB56*$AJ52)+(AB56*$AJ53)+(AB56*$AJ54)+(AB56*$AJ55)</f>
        <v>7590</v>
      </c>
      <c r="AC61" s="124">
        <f t="shared" ref="AC61:AI61" si="38">(AC56*$AJ48)+(AC56*$AJ49)+(AC56*$AJ50)+(AC56*$AJ51)+(AC56*$AJ52)+(AC56*$AJ53)+(AC56*$AJ54)+(AC56*$AJ55)</f>
        <v>1650</v>
      </c>
      <c r="AD61" s="124">
        <f t="shared" si="38"/>
        <v>1430</v>
      </c>
      <c r="AE61" s="124">
        <f t="shared" si="38"/>
        <v>1430</v>
      </c>
      <c r="AF61" s="124">
        <f t="shared" si="38"/>
        <v>0</v>
      </c>
      <c r="AG61" s="124">
        <f t="shared" si="38"/>
        <v>0</v>
      </c>
      <c r="AH61" s="124">
        <f t="shared" si="38"/>
        <v>0</v>
      </c>
      <c r="AI61" s="124">
        <f>(AI56*$AJ48)+(AI56*$AJ49)+(AI56*$AJ50)+(AI56*$AJ51)+(AI56*$AJ52)+(AI56*$AJ53)+(AI56*$AJ54)+(AI56*$AJ55)</f>
        <v>0</v>
      </c>
      <c r="AJ61" s="125">
        <f>SUM(AB61:AI61)</f>
        <v>12100</v>
      </c>
      <c r="AK61" s="127"/>
      <c r="AL61" s="125" t="s">
        <v>32</v>
      </c>
      <c r="AM61" s="44"/>
    </row>
    <row r="62" spans="1:39" ht="22" thickTop="1">
      <c r="A62" s="187"/>
      <c r="B62" s="115"/>
      <c r="C62" s="115"/>
      <c r="D62" s="115"/>
      <c r="E62" s="115"/>
      <c r="F62" s="115"/>
      <c r="G62" s="115"/>
      <c r="H62" s="115"/>
      <c r="I62" t="s">
        <v>111</v>
      </c>
      <c r="J62" s="103">
        <f>I59/I60</f>
        <v>5.6694214876033058E-2</v>
      </c>
      <c r="K62" s="101"/>
      <c r="O62" s="24"/>
      <c r="P62" s="100"/>
      <c r="Q62" s="100"/>
      <c r="R62" s="100"/>
      <c r="S62" s="100"/>
      <c r="T62" s="100"/>
      <c r="U62" s="111"/>
      <c r="V62" s="132"/>
      <c r="W62" s="101"/>
      <c r="X62" s="24"/>
      <c r="AA62" s="187"/>
      <c r="AB62" s="13"/>
      <c r="AC62" s="115"/>
      <c r="AD62" s="115"/>
      <c r="AE62" s="115"/>
      <c r="AF62" s="115"/>
      <c r="AG62" s="115"/>
      <c r="AJ62" t="s">
        <v>110</v>
      </c>
      <c r="AK62" s="102">
        <f>AM59</f>
        <v>0.2</v>
      </c>
      <c r="AL62" s="104">
        <f>(AK62-AK63)/(1-AK63)</f>
        <v>9.5834111713058112E-2</v>
      </c>
      <c r="AM62" s="44"/>
    </row>
    <row r="63" spans="1:39" ht="21">
      <c r="A63" s="24"/>
      <c r="B63" s="126"/>
      <c r="C63" s="126"/>
      <c r="D63" s="126"/>
      <c r="E63" s="126"/>
      <c r="F63" s="126"/>
      <c r="G63" s="126"/>
      <c r="H63" s="126"/>
      <c r="I63" s="134"/>
      <c r="J63" s="135"/>
      <c r="K63" s="136"/>
      <c r="O63" s="24"/>
      <c r="P63" s="24"/>
      <c r="Q63" s="24"/>
      <c r="R63" s="24"/>
      <c r="S63" s="24"/>
      <c r="T63" s="24"/>
      <c r="U63" s="24"/>
      <c r="V63" s="24"/>
      <c r="W63" s="24"/>
      <c r="X63" s="24"/>
      <c r="AA63" s="59"/>
      <c r="AB63" s="187"/>
      <c r="AC63" s="115"/>
      <c r="AD63" s="115"/>
      <c r="AE63" s="115"/>
      <c r="AF63" s="115"/>
      <c r="AG63" s="115"/>
      <c r="AJ63" t="s">
        <v>111</v>
      </c>
      <c r="AK63" s="103">
        <f>AJ60/AJ61</f>
        <v>0.11520661157024793</v>
      </c>
      <c r="AL63" s="101"/>
    </row>
    <row r="64" spans="1:39" ht="21">
      <c r="A64" s="24"/>
      <c r="B64" s="126"/>
      <c r="C64" s="126"/>
      <c r="D64" s="126"/>
      <c r="E64" s="126"/>
      <c r="F64" s="126"/>
      <c r="G64" s="126"/>
      <c r="H64" s="126"/>
      <c r="I64" s="137"/>
      <c r="J64" s="134"/>
      <c r="K64" s="135"/>
      <c r="O64" s="24"/>
      <c r="P64" s="24"/>
      <c r="Q64" s="24"/>
      <c r="R64" s="24"/>
      <c r="S64" s="24"/>
      <c r="T64" s="24"/>
      <c r="U64" s="24"/>
      <c r="V64" s="24"/>
      <c r="W64" s="24"/>
      <c r="X64" s="24"/>
      <c r="AA64" s="24"/>
      <c r="AB64" s="126"/>
      <c r="AC64" s="126"/>
      <c r="AD64" s="126"/>
      <c r="AE64" s="126"/>
      <c r="AF64" s="126"/>
      <c r="AG64" s="126"/>
      <c r="AH64" s="126"/>
      <c r="AI64" s="126"/>
      <c r="AJ64" s="137"/>
      <c r="AK64" s="137"/>
      <c r="AL64" s="137"/>
    </row>
    <row r="65" spans="1:39" ht="21">
      <c r="A65" s="24"/>
      <c r="B65" s="126"/>
      <c r="C65" s="126"/>
      <c r="D65" s="126"/>
      <c r="E65" s="126"/>
      <c r="F65" s="126"/>
      <c r="G65" s="126"/>
      <c r="H65" s="126"/>
      <c r="I65" s="137"/>
      <c r="J65" s="138"/>
      <c r="K65" s="139"/>
      <c r="O65" s="24"/>
      <c r="P65" s="24"/>
      <c r="Q65" s="24"/>
      <c r="R65" s="24"/>
      <c r="S65" s="24"/>
      <c r="T65" s="24"/>
      <c r="U65" s="24"/>
      <c r="V65" s="24"/>
      <c r="W65" s="24"/>
      <c r="X65" s="24"/>
      <c r="AA65" s="24"/>
      <c r="AB65" s="126"/>
      <c r="AC65" s="126"/>
      <c r="AD65" s="126"/>
      <c r="AE65" s="126"/>
      <c r="AF65" s="126"/>
      <c r="AG65" s="126"/>
      <c r="AH65" s="126"/>
      <c r="AI65" s="126"/>
      <c r="AJ65" s="137"/>
      <c r="AK65" s="137"/>
      <c r="AL65" s="137"/>
    </row>
    <row r="66" spans="1:39" ht="17" thickBot="1">
      <c r="A66" s="188" t="s">
        <v>8</v>
      </c>
      <c r="B66" s="188"/>
      <c r="C66" s="188"/>
      <c r="D66" s="188"/>
      <c r="E66" s="188"/>
      <c r="F66" s="188"/>
      <c r="G66" s="188"/>
      <c r="H66" s="188"/>
      <c r="I66" s="188"/>
      <c r="J66" s="188"/>
      <c r="K66" s="188"/>
      <c r="L66" s="7"/>
      <c r="M66" s="112"/>
      <c r="O66" s="193" t="s">
        <v>8</v>
      </c>
      <c r="P66" s="193"/>
      <c r="Q66" s="193"/>
      <c r="R66" s="193"/>
      <c r="S66" s="193"/>
      <c r="T66" s="193"/>
      <c r="U66" s="193"/>
      <c r="V66" s="193"/>
      <c r="W66" s="193"/>
      <c r="X66" s="190"/>
      <c r="AA66" s="188" t="s">
        <v>8</v>
      </c>
      <c r="AB66" s="188"/>
      <c r="AC66" s="188"/>
      <c r="AD66" s="188"/>
      <c r="AE66" s="188"/>
      <c r="AF66" s="188"/>
      <c r="AG66" s="188"/>
      <c r="AH66" s="188"/>
      <c r="AI66" s="188"/>
      <c r="AJ66" s="188"/>
      <c r="AK66" s="188"/>
      <c r="AL66" s="7"/>
    </row>
    <row r="67" spans="1:39" ht="91" thickBot="1">
      <c r="A67" s="8" t="s">
        <v>42</v>
      </c>
      <c r="B67" s="9" t="s">
        <v>10</v>
      </c>
      <c r="C67" s="9" t="s">
        <v>11</v>
      </c>
      <c r="D67" s="9" t="s">
        <v>12</v>
      </c>
      <c r="E67" s="9" t="s">
        <v>13</v>
      </c>
      <c r="F67" s="9" t="s">
        <v>14</v>
      </c>
      <c r="G67" s="9" t="s">
        <v>15</v>
      </c>
      <c r="H67" s="9" t="s">
        <v>16</v>
      </c>
      <c r="I67" s="10" t="s">
        <v>17</v>
      </c>
      <c r="J67" s="11" t="s">
        <v>18</v>
      </c>
      <c r="K67" s="12" t="s">
        <v>19</v>
      </c>
      <c r="L67" s="13"/>
      <c r="M67" s="114"/>
      <c r="O67" s="8" t="s">
        <v>43</v>
      </c>
      <c r="P67" s="9" t="s">
        <v>10</v>
      </c>
      <c r="Q67" s="9" t="s">
        <v>11</v>
      </c>
      <c r="R67" s="9" t="s">
        <v>21</v>
      </c>
      <c r="S67" s="9" t="s">
        <v>22</v>
      </c>
      <c r="T67" s="9" t="s">
        <v>16</v>
      </c>
      <c r="U67" s="10" t="s">
        <v>17</v>
      </c>
      <c r="V67" s="15" t="s">
        <v>18</v>
      </c>
      <c r="W67" s="12" t="s">
        <v>19</v>
      </c>
      <c r="X67" s="16"/>
      <c r="AA67" s="8" t="s">
        <v>44</v>
      </c>
      <c r="AB67" s="17" t="s">
        <v>24</v>
      </c>
      <c r="AC67" s="17" t="s">
        <v>25</v>
      </c>
      <c r="AD67" s="17" t="s">
        <v>26</v>
      </c>
      <c r="AE67" s="17" t="s">
        <v>27</v>
      </c>
      <c r="AF67" s="17" t="s">
        <v>28</v>
      </c>
      <c r="AG67" s="17" t="s">
        <v>29</v>
      </c>
      <c r="AH67" s="17" t="s">
        <v>30</v>
      </c>
      <c r="AI67" s="17" t="s">
        <v>16</v>
      </c>
      <c r="AJ67" s="18" t="s">
        <v>17</v>
      </c>
      <c r="AK67" s="18" t="s">
        <v>18</v>
      </c>
      <c r="AL67" s="19" t="s">
        <v>19</v>
      </c>
    </row>
    <row r="68" spans="1:39" ht="56">
      <c r="A68" s="20" t="s">
        <v>10</v>
      </c>
      <c r="B68" s="13"/>
      <c r="C68" s="13"/>
      <c r="D68" s="13"/>
      <c r="E68" s="13"/>
      <c r="F68" s="13"/>
      <c r="G68" s="13"/>
      <c r="H68" s="13"/>
      <c r="I68" s="21">
        <f t="shared" ref="I68:I75" si="39">SUM(B68:H68)</f>
        <v>0</v>
      </c>
      <c r="J68" s="22">
        <f>1-K68</f>
        <v>1</v>
      </c>
      <c r="K68" s="23">
        <f>0/8</f>
        <v>0</v>
      </c>
      <c r="L68" s="21"/>
      <c r="M68" s="115"/>
      <c r="O68" s="20" t="s">
        <v>10</v>
      </c>
      <c r="P68" s="13"/>
      <c r="Q68" s="13"/>
      <c r="R68" s="13"/>
      <c r="S68" s="13"/>
      <c r="T68" s="13"/>
      <c r="U68" s="21">
        <f t="shared" ref="U68:U73" si="40">SUM(P68:T68)</f>
        <v>0</v>
      </c>
      <c r="V68" s="25">
        <f>1-W68</f>
        <v>0</v>
      </c>
      <c r="W68" s="23">
        <v>1</v>
      </c>
      <c r="X68" s="21"/>
      <c r="AA68" s="26" t="s">
        <v>24</v>
      </c>
      <c r="AB68" s="27"/>
      <c r="AC68" s="28"/>
      <c r="AD68" s="28"/>
      <c r="AE68" s="28"/>
      <c r="AF68" s="28"/>
      <c r="AG68" s="28"/>
      <c r="AH68" s="28"/>
      <c r="AJ68" s="29">
        <f t="shared" ref="AJ68:AJ74" si="41">SUM(AB68:AH68)</f>
        <v>0</v>
      </c>
      <c r="AK68" s="30">
        <f>1-AL68</f>
        <v>0</v>
      </c>
      <c r="AL68" s="31">
        <v>1</v>
      </c>
    </row>
    <row r="69" spans="1:39" ht="45">
      <c r="A69" s="20" t="s">
        <v>11</v>
      </c>
      <c r="B69" s="13"/>
      <c r="C69" s="13"/>
      <c r="D69" s="13"/>
      <c r="E69" s="13"/>
      <c r="F69" s="13">
        <v>3</v>
      </c>
      <c r="G69" s="13">
        <v>6</v>
      </c>
      <c r="H69" s="13"/>
      <c r="I69" s="21">
        <f t="shared" si="39"/>
        <v>9</v>
      </c>
      <c r="J69" s="22">
        <f t="shared" ref="J69:J74" si="42">1-K69</f>
        <v>1</v>
      </c>
      <c r="K69" s="23">
        <f>C69/I69</f>
        <v>0</v>
      </c>
      <c r="L69" s="21"/>
      <c r="M69" s="115"/>
      <c r="O69" s="20" t="s">
        <v>11</v>
      </c>
      <c r="P69" s="13"/>
      <c r="Q69" s="13"/>
      <c r="R69" s="13"/>
      <c r="S69" s="13"/>
      <c r="T69" s="13"/>
      <c r="U69" s="21">
        <f t="shared" si="40"/>
        <v>0</v>
      </c>
      <c r="V69" s="25">
        <f t="shared" ref="V69:V72" si="43">1-W69</f>
        <v>0</v>
      </c>
      <c r="W69" s="23">
        <v>1</v>
      </c>
      <c r="X69" s="21"/>
      <c r="AA69" s="32" t="s">
        <v>25</v>
      </c>
      <c r="AB69" s="16">
        <v>4</v>
      </c>
      <c r="AC69" s="13">
        <v>1</v>
      </c>
      <c r="AD69" s="13"/>
      <c r="AE69" s="13">
        <v>1</v>
      </c>
      <c r="AF69" s="13"/>
      <c r="AG69" s="13"/>
      <c r="AH69" s="13"/>
      <c r="AJ69" s="21">
        <f t="shared" si="41"/>
        <v>6</v>
      </c>
      <c r="AK69" s="25">
        <f>1-AL69</f>
        <v>0.83333333333333337</v>
      </c>
      <c r="AL69" s="23">
        <f>AC69/AJ69</f>
        <v>0.16666666666666666</v>
      </c>
    </row>
    <row r="70" spans="1:39" ht="45">
      <c r="A70" s="20" t="s">
        <v>12</v>
      </c>
      <c r="B70" s="13"/>
      <c r="C70" s="13"/>
      <c r="D70" s="13"/>
      <c r="E70" s="13"/>
      <c r="F70" s="13"/>
      <c r="G70" s="13"/>
      <c r="H70" s="13"/>
      <c r="I70" s="21">
        <f t="shared" si="39"/>
        <v>0</v>
      </c>
      <c r="J70" s="22">
        <f t="shared" si="42"/>
        <v>0</v>
      </c>
      <c r="K70" s="23">
        <v>1</v>
      </c>
      <c r="L70" s="21"/>
      <c r="M70" s="115"/>
      <c r="O70" s="20" t="s">
        <v>21</v>
      </c>
      <c r="P70" s="13"/>
      <c r="Q70" s="13"/>
      <c r="R70" s="13">
        <v>7</v>
      </c>
      <c r="S70" s="13">
        <v>103</v>
      </c>
      <c r="T70" s="13"/>
      <c r="U70" s="21">
        <f t="shared" si="40"/>
        <v>110</v>
      </c>
      <c r="V70" s="25">
        <f t="shared" si="43"/>
        <v>0.9363636363636364</v>
      </c>
      <c r="W70" s="23">
        <f>R70/U70</f>
        <v>6.363636363636363E-2</v>
      </c>
      <c r="X70" s="21"/>
      <c r="AA70" s="32" t="s">
        <v>26</v>
      </c>
      <c r="AB70" s="16">
        <v>3</v>
      </c>
      <c r="AC70" s="13">
        <v>1</v>
      </c>
      <c r="AD70" s="13">
        <v>5</v>
      </c>
      <c r="AE70" s="13">
        <v>12</v>
      </c>
      <c r="AF70" s="13"/>
      <c r="AG70" s="13"/>
      <c r="AH70" s="13"/>
      <c r="AJ70" s="21">
        <f t="shared" si="41"/>
        <v>21</v>
      </c>
      <c r="AK70" s="25">
        <f t="shared" ref="AK70:AK75" si="44">1-AL70</f>
        <v>0.76190476190476186</v>
      </c>
      <c r="AL70" s="23">
        <f>AD70/AJ70</f>
        <v>0.23809523809523808</v>
      </c>
    </row>
    <row r="71" spans="1:39" ht="42">
      <c r="A71" s="20" t="s">
        <v>13</v>
      </c>
      <c r="B71" s="13"/>
      <c r="C71" s="13"/>
      <c r="D71" s="13"/>
      <c r="E71" s="13">
        <v>7</v>
      </c>
      <c r="F71" s="13">
        <v>11</v>
      </c>
      <c r="G71" s="13">
        <v>83</v>
      </c>
      <c r="H71" s="13"/>
      <c r="I71" s="21">
        <f t="shared" si="39"/>
        <v>101</v>
      </c>
      <c r="J71" s="22">
        <f t="shared" si="42"/>
        <v>0.93069306930693063</v>
      </c>
      <c r="K71" s="23">
        <f>E71/I71</f>
        <v>6.9306930693069313E-2</v>
      </c>
      <c r="L71" s="21"/>
      <c r="M71" s="115"/>
      <c r="O71" s="20" t="s">
        <v>22</v>
      </c>
      <c r="P71" s="13"/>
      <c r="Q71" s="13"/>
      <c r="R71" s="13"/>
      <c r="S71" s="13"/>
      <c r="T71" s="13"/>
      <c r="U71" s="21">
        <f t="shared" si="40"/>
        <v>0</v>
      </c>
      <c r="V71" s="25">
        <f t="shared" si="43"/>
        <v>0</v>
      </c>
      <c r="W71" s="23">
        <v>1</v>
      </c>
      <c r="X71" s="21"/>
      <c r="AA71" s="32" t="s">
        <v>27</v>
      </c>
      <c r="AB71" s="16">
        <v>62</v>
      </c>
      <c r="AC71" s="13">
        <v>13</v>
      </c>
      <c r="AD71" s="13">
        <v>8</v>
      </c>
      <c r="AE71" s="13"/>
      <c r="AF71" s="13"/>
      <c r="AG71" s="13"/>
      <c r="AH71" s="13"/>
      <c r="AJ71" s="21">
        <f t="shared" si="41"/>
        <v>83</v>
      </c>
      <c r="AK71" s="25">
        <f t="shared" si="44"/>
        <v>1</v>
      </c>
      <c r="AL71" s="23">
        <f>AE71/AJ71</f>
        <v>0</v>
      </c>
    </row>
    <row r="72" spans="1:39" ht="45">
      <c r="A72" s="20" t="s">
        <v>14</v>
      </c>
      <c r="B72" s="13"/>
      <c r="C72" s="13"/>
      <c r="D72" s="13"/>
      <c r="E72" s="13"/>
      <c r="F72" s="13"/>
      <c r="G72" s="13"/>
      <c r="H72" s="13"/>
      <c r="I72" s="21">
        <f t="shared" si="39"/>
        <v>0</v>
      </c>
      <c r="J72" s="22">
        <f t="shared" si="42"/>
        <v>0</v>
      </c>
      <c r="K72" s="23">
        <v>1</v>
      </c>
      <c r="L72" s="21"/>
      <c r="M72" s="115"/>
      <c r="O72" s="20" t="s">
        <v>16</v>
      </c>
      <c r="P72" s="13"/>
      <c r="Q72" s="13"/>
      <c r="R72" s="13"/>
      <c r="S72" s="13"/>
      <c r="T72" s="13"/>
      <c r="U72" s="21">
        <f t="shared" si="40"/>
        <v>0</v>
      </c>
      <c r="V72" s="25">
        <f t="shared" si="43"/>
        <v>0</v>
      </c>
      <c r="W72" s="23">
        <v>1</v>
      </c>
      <c r="X72" s="21"/>
      <c r="AA72" s="32" t="s">
        <v>28</v>
      </c>
      <c r="AB72" s="16"/>
      <c r="AC72" s="13"/>
      <c r="AD72" s="13"/>
      <c r="AE72" s="13"/>
      <c r="AF72" s="13"/>
      <c r="AG72" s="13"/>
      <c r="AH72" s="13"/>
      <c r="AJ72" s="21">
        <f t="shared" si="41"/>
        <v>0</v>
      </c>
      <c r="AK72" s="25">
        <f t="shared" si="44"/>
        <v>0</v>
      </c>
      <c r="AL72" s="23">
        <v>1</v>
      </c>
    </row>
    <row r="73" spans="1:39" ht="30">
      <c r="A73" s="20" t="s">
        <v>15</v>
      </c>
      <c r="B73" s="13"/>
      <c r="C73" s="13"/>
      <c r="D73" s="13"/>
      <c r="E73" s="13"/>
      <c r="F73" s="13"/>
      <c r="G73" s="13"/>
      <c r="H73" s="13"/>
      <c r="I73" s="21">
        <f t="shared" si="39"/>
        <v>0</v>
      </c>
      <c r="J73" s="22">
        <f t="shared" si="42"/>
        <v>0</v>
      </c>
      <c r="K73" s="23">
        <v>1</v>
      </c>
      <c r="L73" s="21"/>
      <c r="M73" s="115"/>
      <c r="O73" s="33" t="s">
        <v>17</v>
      </c>
      <c r="P73" s="21">
        <f>SUM(P68:P72)</f>
        <v>0</v>
      </c>
      <c r="Q73" s="21">
        <f>SUM(Q68:Q72)</f>
        <v>0</v>
      </c>
      <c r="R73" s="21">
        <f>SUM(R68:R72)</f>
        <v>7</v>
      </c>
      <c r="S73" s="21">
        <f>SUM(S68:S72)</f>
        <v>103</v>
      </c>
      <c r="T73" s="21">
        <f>SUM(T68:T72)</f>
        <v>0</v>
      </c>
      <c r="U73" s="21">
        <f t="shared" si="40"/>
        <v>110</v>
      </c>
      <c r="V73" s="21"/>
      <c r="W73" s="34"/>
      <c r="X73" s="21"/>
      <c r="AA73" s="32" t="s">
        <v>29</v>
      </c>
      <c r="AB73" s="16"/>
      <c r="AC73" s="13"/>
      <c r="AD73" s="13"/>
      <c r="AE73" s="13"/>
      <c r="AF73" s="13"/>
      <c r="AG73" s="13"/>
      <c r="AH73" s="13"/>
      <c r="AJ73" s="21">
        <f t="shared" si="41"/>
        <v>0</v>
      </c>
      <c r="AK73" s="25">
        <f t="shared" si="44"/>
        <v>0</v>
      </c>
      <c r="AL73" s="23">
        <v>1</v>
      </c>
    </row>
    <row r="74" spans="1:39" ht="45">
      <c r="A74" s="20" t="s">
        <v>16</v>
      </c>
      <c r="B74" s="13"/>
      <c r="C74" s="13"/>
      <c r="D74" s="13"/>
      <c r="E74" s="13"/>
      <c r="F74" s="13"/>
      <c r="G74" s="13"/>
      <c r="H74" s="13"/>
      <c r="I74" s="21">
        <f t="shared" si="39"/>
        <v>0</v>
      </c>
      <c r="J74" s="22">
        <f t="shared" si="42"/>
        <v>0</v>
      </c>
      <c r="K74" s="23">
        <v>1</v>
      </c>
      <c r="L74" s="21"/>
      <c r="M74" s="115"/>
      <c r="O74" s="33" t="s">
        <v>31</v>
      </c>
      <c r="P74" s="25">
        <f>1-P75</f>
        <v>0</v>
      </c>
      <c r="Q74" s="25">
        <f t="shared" ref="Q74:T74" si="45">1-Q75</f>
        <v>0</v>
      </c>
      <c r="R74" s="25">
        <f t="shared" si="45"/>
        <v>0</v>
      </c>
      <c r="S74" s="25">
        <f t="shared" si="45"/>
        <v>1</v>
      </c>
      <c r="T74" s="25">
        <f t="shared" si="45"/>
        <v>0</v>
      </c>
      <c r="U74" s="13"/>
      <c r="V74" s="35" t="s">
        <v>32</v>
      </c>
      <c r="W74" s="36">
        <f>W79</f>
        <v>0</v>
      </c>
      <c r="X74" s="21"/>
      <c r="AA74" s="32" t="s">
        <v>30</v>
      </c>
      <c r="AB74" s="16"/>
      <c r="AC74" s="13"/>
      <c r="AD74" s="13"/>
      <c r="AE74" s="13"/>
      <c r="AF74" s="13"/>
      <c r="AG74" s="13"/>
      <c r="AH74" s="13"/>
      <c r="AJ74" s="21">
        <f t="shared" si="41"/>
        <v>0</v>
      </c>
      <c r="AK74" s="25">
        <f t="shared" si="44"/>
        <v>0</v>
      </c>
      <c r="AL74" s="23">
        <v>1</v>
      </c>
    </row>
    <row r="75" spans="1:39" ht="29" thickBot="1">
      <c r="A75" s="33" t="s">
        <v>17</v>
      </c>
      <c r="B75" s="21">
        <f t="shared" ref="B75:H75" si="46">SUM(B68:B74)</f>
        <v>0</v>
      </c>
      <c r="C75" s="21">
        <f t="shared" si="46"/>
        <v>0</v>
      </c>
      <c r="D75" s="21">
        <f t="shared" si="46"/>
        <v>0</v>
      </c>
      <c r="E75" s="21">
        <f t="shared" si="46"/>
        <v>7</v>
      </c>
      <c r="F75" s="21">
        <f t="shared" si="46"/>
        <v>14</v>
      </c>
      <c r="G75" s="21">
        <f t="shared" si="46"/>
        <v>89</v>
      </c>
      <c r="H75" s="21">
        <f t="shared" si="46"/>
        <v>0</v>
      </c>
      <c r="I75" s="21">
        <f t="shared" si="39"/>
        <v>110</v>
      </c>
      <c r="J75" s="37"/>
      <c r="K75" s="34"/>
      <c r="L75" s="21"/>
      <c r="M75" s="115"/>
      <c r="O75" s="38" t="s">
        <v>33</v>
      </c>
      <c r="P75" s="39">
        <v>1</v>
      </c>
      <c r="Q75" s="40">
        <v>1</v>
      </c>
      <c r="R75" s="40">
        <f>R70/R73</f>
        <v>1</v>
      </c>
      <c r="S75" s="40">
        <f>S71/S73</f>
        <v>0</v>
      </c>
      <c r="T75" s="39">
        <v>1</v>
      </c>
      <c r="U75" s="41"/>
      <c r="V75" s="42" t="s">
        <v>34</v>
      </c>
      <c r="W75" s="43">
        <f>X76</f>
        <v>6.363636363636363E-2</v>
      </c>
      <c r="X75" s="44"/>
      <c r="AA75" s="60" t="s">
        <v>16</v>
      </c>
      <c r="AJ75" s="21">
        <f>SUM(AB75:AI75)</f>
        <v>0</v>
      </c>
      <c r="AK75" s="25">
        <f t="shared" si="44"/>
        <v>0</v>
      </c>
      <c r="AL75" s="23">
        <v>1</v>
      </c>
    </row>
    <row r="76" spans="1:39" ht="28">
      <c r="A76" s="33" t="s">
        <v>31</v>
      </c>
      <c r="B76" s="25">
        <f>1-B77</f>
        <v>0</v>
      </c>
      <c r="C76" s="25">
        <f t="shared" ref="C76:H76" si="47">1-C77</f>
        <v>0</v>
      </c>
      <c r="D76" s="25">
        <f t="shared" si="47"/>
        <v>0</v>
      </c>
      <c r="E76" s="25">
        <f t="shared" si="47"/>
        <v>0</v>
      </c>
      <c r="F76" s="25">
        <f t="shared" si="47"/>
        <v>1</v>
      </c>
      <c r="G76" s="25">
        <f t="shared" si="47"/>
        <v>1</v>
      </c>
      <c r="H76" s="25">
        <f t="shared" si="47"/>
        <v>0</v>
      </c>
      <c r="I76" s="49"/>
      <c r="J76" s="46" t="s">
        <v>32</v>
      </c>
      <c r="K76" s="36">
        <f>K81</f>
        <v>5.5297112261915114E-3</v>
      </c>
      <c r="L76" s="21"/>
      <c r="M76" s="115"/>
      <c r="O76" s="129" t="s">
        <v>136</v>
      </c>
      <c r="V76" s="4"/>
      <c r="X76" s="50">
        <f>SUM(P68,Q69,R70,S71,T72)/U73</f>
        <v>6.363636363636363E-2</v>
      </c>
      <c r="AA76" s="33" t="s">
        <v>17</v>
      </c>
      <c r="AB76" s="21">
        <f t="shared" ref="AB76:AH76" si="48">SUM(AB68:AB75)</f>
        <v>69</v>
      </c>
      <c r="AC76" s="21">
        <f t="shared" si="48"/>
        <v>15</v>
      </c>
      <c r="AD76" s="21">
        <f t="shared" si="48"/>
        <v>13</v>
      </c>
      <c r="AE76" s="21">
        <f t="shared" si="48"/>
        <v>13</v>
      </c>
      <c r="AF76" s="21">
        <f t="shared" si="48"/>
        <v>0</v>
      </c>
      <c r="AG76" s="21">
        <f t="shared" si="48"/>
        <v>0</v>
      </c>
      <c r="AH76" s="21">
        <f t="shared" si="48"/>
        <v>0</v>
      </c>
      <c r="AI76" s="21">
        <f>SUM(AI68:AI75)</f>
        <v>0</v>
      </c>
      <c r="AJ76" s="21">
        <f>SUM(AB76:AI76)</f>
        <v>110</v>
      </c>
      <c r="AL76" s="51"/>
    </row>
    <row r="77" spans="1:39" ht="29" thickBot="1">
      <c r="A77" s="38" t="s">
        <v>33</v>
      </c>
      <c r="B77" s="39">
        <v>1</v>
      </c>
      <c r="C77" s="40">
        <v>1</v>
      </c>
      <c r="D77" s="40">
        <v>1</v>
      </c>
      <c r="E77" s="40">
        <f>E71/E75</f>
        <v>1</v>
      </c>
      <c r="F77" s="40">
        <f>F72/F75</f>
        <v>0</v>
      </c>
      <c r="G77" s="40">
        <f>G73/G75</f>
        <v>0</v>
      </c>
      <c r="H77" s="39">
        <v>1</v>
      </c>
      <c r="I77" s="41"/>
      <c r="J77" s="52" t="s">
        <v>34</v>
      </c>
      <c r="K77" s="43">
        <f>L78</f>
        <v>6.363636363636363E-2</v>
      </c>
      <c r="L77" s="44"/>
      <c r="M77" s="116"/>
      <c r="O77" s="141" t="s">
        <v>135</v>
      </c>
      <c r="P77" s="122">
        <f>P73*U68</f>
        <v>0</v>
      </c>
      <c r="Q77" s="122">
        <f>Q73*U69</f>
        <v>0</v>
      </c>
      <c r="R77" s="122">
        <f>R73*U70</f>
        <v>770</v>
      </c>
      <c r="S77" s="122">
        <f>S73*U71</f>
        <v>0</v>
      </c>
      <c r="T77" s="122">
        <f>T73*U72</f>
        <v>0</v>
      </c>
      <c r="U77" s="123">
        <f>SUM(N77:T77)</f>
        <v>770</v>
      </c>
      <c r="V77" s="128"/>
      <c r="W77" s="123"/>
      <c r="X77" s="44"/>
      <c r="AA77" s="33" t="s">
        <v>35</v>
      </c>
      <c r="AB77" s="53">
        <f>1-AB78</f>
        <v>1</v>
      </c>
      <c r="AC77" s="54">
        <f>1-AC78</f>
        <v>0.93333333333333335</v>
      </c>
      <c r="AD77" s="54">
        <f t="shared" ref="AD77:AI77" si="49">1-AD78</f>
        <v>0.61538461538461542</v>
      </c>
      <c r="AE77" s="54">
        <f t="shared" si="49"/>
        <v>1</v>
      </c>
      <c r="AF77" s="54">
        <f t="shared" si="49"/>
        <v>0</v>
      </c>
      <c r="AG77" s="54">
        <f t="shared" si="49"/>
        <v>0</v>
      </c>
      <c r="AH77" s="54">
        <f t="shared" si="49"/>
        <v>0</v>
      </c>
      <c r="AI77" s="54">
        <f t="shared" si="49"/>
        <v>0</v>
      </c>
      <c r="AK77" s="35" t="s">
        <v>32</v>
      </c>
      <c r="AL77" s="36">
        <f>AL82</f>
        <v>-7.3372114843310188E-2</v>
      </c>
    </row>
    <row r="78" spans="1:39" ht="33" thickBot="1">
      <c r="A78" s="129" t="s">
        <v>136</v>
      </c>
      <c r="L78" s="50">
        <f>SUM(B68,C69,D70,E71,F72,G73,H74)/I75</f>
        <v>6.363636363636363E-2</v>
      </c>
      <c r="M78" s="113"/>
      <c r="O78" s="142" t="s">
        <v>134</v>
      </c>
      <c r="P78" s="124">
        <f>(P73*$U68)+(P73*$U69)+(P73*$U70)+(P73*$U71)+(P73*$U72)</f>
        <v>0</v>
      </c>
      <c r="Q78" s="124">
        <f t="shared" ref="Q78:T78" si="50">(Q73*$U68)+(Q73*$U69)+(Q73*$U70)+(Q73*$U71)+(Q73*$U72)</f>
        <v>0</v>
      </c>
      <c r="R78" s="124">
        <f t="shared" si="50"/>
        <v>770</v>
      </c>
      <c r="S78" s="124">
        <f t="shared" si="50"/>
        <v>11330</v>
      </c>
      <c r="T78" s="124">
        <f t="shared" si="50"/>
        <v>0</v>
      </c>
      <c r="U78" s="125">
        <f>SUM(N78:T78)</f>
        <v>12100</v>
      </c>
      <c r="V78" s="127"/>
      <c r="W78" s="125" t="s">
        <v>32</v>
      </c>
      <c r="X78" s="44"/>
      <c r="AA78" s="38" t="s">
        <v>33</v>
      </c>
      <c r="AB78" s="56">
        <f>AB68/AB76</f>
        <v>0</v>
      </c>
      <c r="AC78" s="57">
        <f>AC69/AC76</f>
        <v>6.6666666666666666E-2</v>
      </c>
      <c r="AD78" s="57">
        <f>AD70/AD76</f>
        <v>0.38461538461538464</v>
      </c>
      <c r="AE78" s="57">
        <f>AE71/AE76</f>
        <v>0</v>
      </c>
      <c r="AF78" s="57">
        <v>1</v>
      </c>
      <c r="AG78" s="57">
        <v>1</v>
      </c>
      <c r="AH78" s="57">
        <v>1</v>
      </c>
      <c r="AI78" s="57">
        <v>1</v>
      </c>
      <c r="AJ78" s="41"/>
      <c r="AK78" s="42" t="s">
        <v>34</v>
      </c>
      <c r="AL78" s="43">
        <f>AM79</f>
        <v>5.4545454545454543E-2</v>
      </c>
    </row>
    <row r="79" spans="1:39" ht="22" thickTop="1">
      <c r="A79" s="130" t="s">
        <v>135</v>
      </c>
      <c r="B79" s="122">
        <f>B75*I68</f>
        <v>0</v>
      </c>
      <c r="C79" s="122">
        <f>C75*I69</f>
        <v>0</v>
      </c>
      <c r="D79" s="122">
        <f>D75*I70</f>
        <v>0</v>
      </c>
      <c r="E79" s="122">
        <f>E75*I71</f>
        <v>707</v>
      </c>
      <c r="F79" s="122">
        <f>F75*I72</f>
        <v>0</v>
      </c>
      <c r="G79" s="122">
        <f>G75*I73</f>
        <v>0</v>
      </c>
      <c r="H79" s="122">
        <f>H75*I74</f>
        <v>0</v>
      </c>
      <c r="I79" s="123">
        <f>SUM(B79:H79)</f>
        <v>707</v>
      </c>
      <c r="J79" s="128"/>
      <c r="K79" s="123"/>
      <c r="L79" s="44"/>
      <c r="O79" s="13"/>
      <c r="P79" s="115"/>
      <c r="Q79" s="115"/>
      <c r="R79" s="115"/>
      <c r="S79" s="115"/>
      <c r="T79" s="115"/>
      <c r="U79" t="s">
        <v>110</v>
      </c>
      <c r="V79" s="102">
        <f>X76</f>
        <v>6.363636363636363E-2</v>
      </c>
      <c r="W79" s="104">
        <f>(V79-V80)/(1-V80)</f>
        <v>0</v>
      </c>
      <c r="X79" s="44"/>
      <c r="AA79" s="129" t="s">
        <v>136</v>
      </c>
      <c r="AK79" s="4"/>
      <c r="AM79" s="50">
        <f>SUM(AB68,AC69,AD70,AE71,AF72,AG73,AH74,AI75)/AJ76</f>
        <v>5.4545454545454543E-2</v>
      </c>
    </row>
    <row r="80" spans="1:39" ht="29" thickBot="1">
      <c r="A80" s="131" t="s">
        <v>134</v>
      </c>
      <c r="B80" s="124">
        <f>(B75*$I68)+(B75*$I69)+(B75*$I70)+(B75*$I71)+(B75*$I72)+(B75*$I73)+(B75*$I74)</f>
        <v>0</v>
      </c>
      <c r="C80" s="124">
        <f>(C75*$I68)+(C75*$I69)+(C75*$I70)+(C75*$I71)+(C75*$I72)+(C75*$I73)+(C75*$I74)</f>
        <v>0</v>
      </c>
      <c r="D80" s="124">
        <f>(D75*$I68)+(D75*$I69)+(D75*$I70)+(D75*$I71)+(D75*$I72)+(D75*$I73)+(D75*$I74)</f>
        <v>0</v>
      </c>
      <c r="E80" s="124">
        <f>(E75*$I68)+(E75*$I69)+(E75*$I70)+(E75*$I71)+(E75*$I72)+(E75*$I73)+(E75*$I74)</f>
        <v>770</v>
      </c>
      <c r="F80" s="124">
        <f>(F75*$I68)+(F75*$I69)+(F75*$I70)+(F75*$I71)+(F75*$I72)+(F75*$I73)+(F75*$I74)</f>
        <v>1540</v>
      </c>
      <c r="G80" s="124">
        <f>(G75*$I68)+(G75*$I69)+(G75*$I70)+(G75*$I71)+(G75*$I72)+(G75*$I73)+(G75*$I74)</f>
        <v>9790</v>
      </c>
      <c r="H80" s="124">
        <f>(H75*$I68)+(H75*$I69)+(H75*$I70)+(H75*$I71)+(H75*$I72)+(H75*$I73)+(H75*$I74)</f>
        <v>0</v>
      </c>
      <c r="I80" s="125">
        <f>SUM(B80:H80)</f>
        <v>12100</v>
      </c>
      <c r="J80" s="127"/>
      <c r="K80" s="125" t="s">
        <v>32</v>
      </c>
      <c r="L80" s="44"/>
      <c r="O80" s="187"/>
      <c r="P80" s="115"/>
      <c r="Q80" s="115"/>
      <c r="R80" s="115"/>
      <c r="S80" s="115"/>
      <c r="T80" s="115"/>
      <c r="U80" t="s">
        <v>111</v>
      </c>
      <c r="V80" s="103">
        <f>U77/U78</f>
        <v>6.363636363636363E-2</v>
      </c>
      <c r="W80" s="101"/>
      <c r="AA80" s="141" t="s">
        <v>135</v>
      </c>
      <c r="AB80" s="122">
        <f>AB76*AJ68</f>
        <v>0</v>
      </c>
      <c r="AC80" s="122">
        <f>AC76*AJ69</f>
        <v>90</v>
      </c>
      <c r="AD80" s="122">
        <f>AD76*AJ70</f>
        <v>273</v>
      </c>
      <c r="AE80" s="122">
        <f>AE76*AJ71</f>
        <v>1079</v>
      </c>
      <c r="AF80" s="122">
        <f>AF76*AJ72</f>
        <v>0</v>
      </c>
      <c r="AG80" s="122">
        <f>AG76*AJ73</f>
        <v>0</v>
      </c>
      <c r="AH80" s="122">
        <f>AH76*AJ74</f>
        <v>0</v>
      </c>
      <c r="AI80" s="122">
        <f>AI76*AJ75</f>
        <v>0</v>
      </c>
      <c r="AJ80" s="123">
        <f>SUM(AB80:AI80)</f>
        <v>1442</v>
      </c>
      <c r="AK80" s="128"/>
      <c r="AL80" s="123"/>
      <c r="AM80" s="44"/>
    </row>
    <row r="81" spans="1:39" ht="30" thickTop="1" thickBot="1">
      <c r="A81" s="13"/>
      <c r="B81" s="115"/>
      <c r="C81" s="115"/>
      <c r="D81" s="115"/>
      <c r="E81" s="115"/>
      <c r="F81" s="115"/>
      <c r="G81" s="115"/>
      <c r="H81" s="115"/>
      <c r="I81" t="s">
        <v>110</v>
      </c>
      <c r="J81" s="102">
        <f>L78</f>
        <v>6.363636363636363E-2</v>
      </c>
      <c r="K81" s="104">
        <f>(J81-J82)/(1-J82)</f>
        <v>5.5297112261915114E-3</v>
      </c>
      <c r="L81" s="44"/>
      <c r="P81" s="100"/>
      <c r="Q81" s="100"/>
      <c r="R81" s="100"/>
      <c r="S81" s="100"/>
      <c r="T81" s="100"/>
      <c r="U81" s="111"/>
      <c r="V81" s="132"/>
      <c r="W81" s="133"/>
      <c r="AA81" s="142" t="s">
        <v>134</v>
      </c>
      <c r="AB81" s="124">
        <f>(AB76*$AJ68)+(AB76*$AJ69)+(AB76*$AJ70)+(AB76*$AJ71)+(AB76*$AJ72)+(AB76*$AJ73)+(AB76*$AJ74)+(AB76*$AJ75)</f>
        <v>7590</v>
      </c>
      <c r="AC81" s="124">
        <f t="shared" ref="AC81:AI81" si="51">(AC76*$AJ68)+(AC76*$AJ69)+(AC76*$AJ70)+(AC76*$AJ71)+(AC76*$AJ72)+(AC76*$AJ73)+(AC76*$AJ74)+(AC76*$AJ75)</f>
        <v>1650</v>
      </c>
      <c r="AD81" s="124">
        <f t="shared" si="51"/>
        <v>1430</v>
      </c>
      <c r="AE81" s="124">
        <f t="shared" si="51"/>
        <v>1430</v>
      </c>
      <c r="AF81" s="124">
        <f t="shared" si="51"/>
        <v>0</v>
      </c>
      <c r="AG81" s="124">
        <f t="shared" si="51"/>
        <v>0</v>
      </c>
      <c r="AH81" s="124">
        <f t="shared" si="51"/>
        <v>0</v>
      </c>
      <c r="AI81" s="124">
        <f>(AI76*$AJ68)+(AI76*$AJ69)+(AI76*$AJ70)+(AI76*$AJ71)+(AI76*$AJ72)+(AI76*$AJ73)+(AI76*$AJ74)+(AI76*$AJ75)</f>
        <v>0</v>
      </c>
      <c r="AJ81" s="125">
        <f>SUM(AB81:AI81)</f>
        <v>12100</v>
      </c>
      <c r="AK81" s="127"/>
      <c r="AL81" s="125" t="s">
        <v>32</v>
      </c>
      <c r="AM81" s="44"/>
    </row>
    <row r="82" spans="1:39" ht="22" thickTop="1">
      <c r="A82" s="187"/>
      <c r="B82" s="115"/>
      <c r="C82" s="115"/>
      <c r="D82" s="115"/>
      <c r="E82" s="115"/>
      <c r="F82" s="115"/>
      <c r="G82" s="115"/>
      <c r="H82" s="115"/>
      <c r="I82" t="s">
        <v>111</v>
      </c>
      <c r="J82" s="103">
        <f>I79/I80</f>
        <v>5.8429752066115705E-2</v>
      </c>
      <c r="K82" s="101"/>
      <c r="P82" s="100"/>
      <c r="Q82" s="100"/>
      <c r="R82" s="100"/>
      <c r="S82" s="100"/>
      <c r="T82" s="100"/>
      <c r="U82" s="111"/>
      <c r="V82" s="132"/>
      <c r="W82" s="101"/>
      <c r="AA82" s="187"/>
      <c r="AB82" s="13"/>
      <c r="AC82" s="115"/>
      <c r="AD82" s="115"/>
      <c r="AE82" s="115"/>
      <c r="AF82" s="115"/>
      <c r="AG82" s="115"/>
      <c r="AJ82" t="s">
        <v>110</v>
      </c>
      <c r="AK82" s="102">
        <f>AM79</f>
        <v>5.4545454545454543E-2</v>
      </c>
      <c r="AL82" s="104">
        <f>(AK82-AK83)/(1-AK83)</f>
        <v>-7.3372114843310188E-2</v>
      </c>
      <c r="AM82" s="44"/>
    </row>
    <row r="83" spans="1:39" ht="21">
      <c r="B83" s="126"/>
      <c r="C83" s="126"/>
      <c r="D83" s="126"/>
      <c r="E83" s="126"/>
      <c r="F83" s="126"/>
      <c r="G83" s="126"/>
      <c r="H83" s="126"/>
      <c r="I83" s="134"/>
      <c r="J83" s="135"/>
      <c r="K83" s="137"/>
      <c r="AA83" s="59"/>
      <c r="AB83" s="187"/>
      <c r="AC83" s="115"/>
      <c r="AD83" s="115"/>
      <c r="AE83" s="115"/>
      <c r="AF83" s="115"/>
      <c r="AG83" s="115"/>
      <c r="AJ83" t="s">
        <v>111</v>
      </c>
      <c r="AK83" s="103">
        <f>AJ80/AJ81</f>
        <v>0.11917355371900827</v>
      </c>
      <c r="AL83" s="101"/>
    </row>
    <row r="84" spans="1:39" ht="21">
      <c r="B84" s="126"/>
      <c r="C84" s="126"/>
      <c r="D84" s="126"/>
      <c r="E84" s="126"/>
      <c r="F84" s="126"/>
      <c r="G84" s="126"/>
      <c r="H84" s="126"/>
      <c r="I84" s="137"/>
      <c r="J84" s="134"/>
      <c r="K84" s="135"/>
      <c r="AB84" s="126"/>
      <c r="AC84" s="126"/>
      <c r="AD84" s="126"/>
      <c r="AE84" s="126"/>
      <c r="AF84" s="126"/>
      <c r="AG84" s="126"/>
      <c r="AH84" s="126"/>
      <c r="AI84" s="126"/>
      <c r="AJ84" s="137"/>
      <c r="AK84" s="137"/>
      <c r="AL84" s="137"/>
    </row>
    <row r="85" spans="1:39" ht="21">
      <c r="B85" s="126"/>
      <c r="C85" s="126"/>
      <c r="D85" s="126"/>
      <c r="E85" s="126"/>
      <c r="F85" s="126"/>
      <c r="G85" s="126"/>
      <c r="H85" s="126"/>
      <c r="I85" s="137"/>
      <c r="J85" s="138"/>
      <c r="K85" s="139"/>
      <c r="AB85" s="126"/>
      <c r="AC85" s="126"/>
      <c r="AD85" s="126"/>
      <c r="AE85" s="126"/>
      <c r="AF85" s="126"/>
      <c r="AG85" s="126"/>
      <c r="AH85" s="126"/>
      <c r="AI85" s="126"/>
      <c r="AJ85" s="137"/>
      <c r="AK85" s="137"/>
      <c r="AL85" s="137"/>
    </row>
    <row r="86" spans="1:39" ht="21">
      <c r="A86" s="191" t="s">
        <v>45</v>
      </c>
      <c r="B86" s="191"/>
      <c r="C86" s="191"/>
      <c r="D86" s="191"/>
      <c r="E86" s="191"/>
      <c r="F86" s="191"/>
      <c r="G86" s="191"/>
      <c r="H86" s="191"/>
      <c r="I86" s="191"/>
      <c r="J86" s="191"/>
      <c r="K86" s="191"/>
      <c r="L86" s="5"/>
      <c r="M86" s="117"/>
      <c r="N86" s="5"/>
      <c r="O86" s="191" t="s">
        <v>45</v>
      </c>
      <c r="P86" s="191"/>
      <c r="Q86" s="191"/>
      <c r="R86" s="191"/>
      <c r="S86" s="191"/>
      <c r="T86" s="191"/>
      <c r="U86" s="191"/>
      <c r="V86" s="191"/>
      <c r="W86" s="191"/>
      <c r="X86" s="191"/>
      <c r="AA86" s="191" t="s">
        <v>45</v>
      </c>
      <c r="AB86" s="191"/>
      <c r="AC86" s="191"/>
      <c r="AD86" s="191"/>
      <c r="AE86" s="191"/>
      <c r="AF86" s="191"/>
      <c r="AG86" s="191"/>
      <c r="AH86" s="191"/>
      <c r="AI86" s="191"/>
      <c r="AJ86" s="191"/>
      <c r="AK86" s="191"/>
      <c r="AL86" s="5"/>
      <c r="AM86" s="5"/>
    </row>
    <row r="87" spans="1:39" ht="21">
      <c r="A87" s="5"/>
      <c r="B87" s="5"/>
      <c r="C87" s="5"/>
      <c r="D87" s="5"/>
      <c r="E87" s="5"/>
      <c r="F87" s="5"/>
      <c r="G87" s="5"/>
      <c r="H87" s="5"/>
      <c r="I87" s="5"/>
      <c r="K87" s="5"/>
      <c r="L87" s="5"/>
      <c r="M87" s="117"/>
      <c r="N87" s="5"/>
      <c r="O87" s="5"/>
      <c r="P87" s="5"/>
      <c r="Q87" s="5"/>
      <c r="R87" s="5"/>
      <c r="S87" s="5"/>
      <c r="T87" s="5"/>
      <c r="U87" s="5"/>
      <c r="V87" s="5"/>
      <c r="W87" s="5"/>
      <c r="X87" s="5"/>
      <c r="AA87" s="5"/>
      <c r="AB87" s="5"/>
      <c r="AC87" s="5"/>
      <c r="AD87" s="5"/>
      <c r="AE87" s="5"/>
      <c r="AF87" s="5"/>
      <c r="AG87" s="5"/>
      <c r="AH87" s="5"/>
      <c r="AI87" s="5"/>
      <c r="AJ87" s="5"/>
      <c r="AK87" s="5"/>
      <c r="AL87" s="5"/>
      <c r="AM87" s="5"/>
    </row>
    <row r="88" spans="1:39" ht="17" thickBot="1">
      <c r="A88" s="188" t="s">
        <v>8</v>
      </c>
      <c r="B88" s="188"/>
      <c r="C88" s="188"/>
      <c r="D88" s="188"/>
      <c r="E88" s="188"/>
      <c r="F88" s="188"/>
      <c r="G88" s="188"/>
      <c r="H88" s="188"/>
      <c r="I88" s="188"/>
      <c r="J88" s="188"/>
      <c r="K88" s="188"/>
      <c r="L88" s="6"/>
      <c r="M88" s="112"/>
      <c r="O88" s="188" t="s">
        <v>8</v>
      </c>
      <c r="P88" s="188"/>
      <c r="Q88" s="188"/>
      <c r="R88" s="188"/>
      <c r="S88" s="188"/>
      <c r="T88" s="188"/>
      <c r="U88" s="188"/>
      <c r="V88" s="188"/>
      <c r="W88" s="188"/>
      <c r="X88" s="190"/>
      <c r="AA88" s="188" t="s">
        <v>8</v>
      </c>
      <c r="AB88" s="188"/>
      <c r="AC88" s="188"/>
      <c r="AD88" s="188"/>
      <c r="AE88" s="188"/>
      <c r="AF88" s="188"/>
      <c r="AG88" s="188"/>
      <c r="AH88" s="188"/>
      <c r="AI88" s="188"/>
      <c r="AJ88" s="188"/>
      <c r="AK88" s="188"/>
      <c r="AL88" s="6"/>
    </row>
    <row r="89" spans="1:39" ht="91" thickBot="1">
      <c r="A89" s="8" t="s">
        <v>46</v>
      </c>
      <c r="B89" s="9" t="s">
        <v>10</v>
      </c>
      <c r="C89" s="9" t="s">
        <v>11</v>
      </c>
      <c r="D89" s="9" t="s">
        <v>12</v>
      </c>
      <c r="E89" s="9" t="s">
        <v>13</v>
      </c>
      <c r="F89" s="9" t="s">
        <v>14</v>
      </c>
      <c r="G89" s="9" t="s">
        <v>15</v>
      </c>
      <c r="H89" s="9" t="s">
        <v>16</v>
      </c>
      <c r="I89" s="10" t="s">
        <v>17</v>
      </c>
      <c r="J89" s="11" t="s">
        <v>18</v>
      </c>
      <c r="K89" s="12" t="s">
        <v>19</v>
      </c>
      <c r="L89" s="13"/>
      <c r="M89" s="114"/>
      <c r="O89" s="8" t="s">
        <v>47</v>
      </c>
      <c r="P89" s="9" t="s">
        <v>10</v>
      </c>
      <c r="Q89" s="9" t="s">
        <v>11</v>
      </c>
      <c r="R89" s="9" t="s">
        <v>21</v>
      </c>
      <c r="S89" s="9" t="s">
        <v>22</v>
      </c>
      <c r="T89" s="9" t="s">
        <v>16</v>
      </c>
      <c r="U89" s="10" t="s">
        <v>17</v>
      </c>
      <c r="V89" s="15" t="s">
        <v>18</v>
      </c>
      <c r="W89" s="12" t="s">
        <v>19</v>
      </c>
      <c r="X89" s="16"/>
      <c r="AA89" s="8" t="s">
        <v>48</v>
      </c>
      <c r="AB89" s="17" t="s">
        <v>24</v>
      </c>
      <c r="AC89" s="17" t="s">
        <v>25</v>
      </c>
      <c r="AD89" s="17" t="s">
        <v>26</v>
      </c>
      <c r="AE89" s="17" t="s">
        <v>27</v>
      </c>
      <c r="AF89" s="17" t="s">
        <v>28</v>
      </c>
      <c r="AG89" s="17" t="s">
        <v>29</v>
      </c>
      <c r="AH89" s="17" t="s">
        <v>30</v>
      </c>
      <c r="AI89" s="17" t="s">
        <v>16</v>
      </c>
      <c r="AJ89" s="18" t="s">
        <v>17</v>
      </c>
      <c r="AK89" s="18" t="s">
        <v>18</v>
      </c>
      <c r="AL89" s="19" t="s">
        <v>19</v>
      </c>
    </row>
    <row r="90" spans="1:39" ht="56">
      <c r="A90" s="20" t="s">
        <v>10</v>
      </c>
      <c r="B90" s="13"/>
      <c r="C90" s="13">
        <v>11</v>
      </c>
      <c r="D90" s="13"/>
      <c r="E90" s="13">
        <v>9</v>
      </c>
      <c r="F90" s="13"/>
      <c r="G90" s="13"/>
      <c r="H90" s="13"/>
      <c r="I90" s="21">
        <f t="shared" ref="I90:I97" si="52">SUM(B90:H90)</f>
        <v>20</v>
      </c>
      <c r="J90" s="22">
        <f>1-K90</f>
        <v>1</v>
      </c>
      <c r="K90" s="23">
        <f>0/8</f>
        <v>0</v>
      </c>
      <c r="L90" s="21"/>
      <c r="M90" s="115"/>
      <c r="O90" s="20" t="s">
        <v>10</v>
      </c>
      <c r="P90" s="13"/>
      <c r="Q90" s="13">
        <v>10</v>
      </c>
      <c r="R90" s="13">
        <v>9</v>
      </c>
      <c r="S90" s="13"/>
      <c r="T90" s="13"/>
      <c r="U90" s="21">
        <f t="shared" ref="U90:U95" si="53">SUM(P90:T90)</f>
        <v>19</v>
      </c>
      <c r="V90" s="25">
        <f>1-W90</f>
        <v>1</v>
      </c>
      <c r="W90" s="23">
        <f>P90/U90</f>
        <v>0</v>
      </c>
      <c r="X90" s="21"/>
      <c r="AA90" s="26" t="s">
        <v>24</v>
      </c>
      <c r="AB90" s="27"/>
      <c r="AC90" s="28"/>
      <c r="AD90" s="28"/>
      <c r="AE90" s="28"/>
      <c r="AF90" s="28">
        <v>2</v>
      </c>
      <c r="AG90" s="28"/>
      <c r="AH90" s="28"/>
      <c r="AJ90" s="29">
        <f t="shared" ref="AJ90:AJ96" si="54">SUM(AB90:AH90)</f>
        <v>2</v>
      </c>
      <c r="AK90" s="30">
        <f>1-AL90</f>
        <v>1</v>
      </c>
      <c r="AL90" s="31">
        <f>AB90/AJ90</f>
        <v>0</v>
      </c>
    </row>
    <row r="91" spans="1:39" ht="45">
      <c r="A91" s="20" t="s">
        <v>11</v>
      </c>
      <c r="B91" s="13"/>
      <c r="C91" s="13"/>
      <c r="D91" s="13"/>
      <c r="E91" s="13"/>
      <c r="F91" s="13"/>
      <c r="G91" s="13"/>
      <c r="H91" s="13"/>
      <c r="I91" s="21">
        <f t="shared" si="52"/>
        <v>0</v>
      </c>
      <c r="J91" s="22">
        <f t="shared" ref="J91:J96" si="55">1-K91</f>
        <v>0</v>
      </c>
      <c r="K91" s="23">
        <v>1</v>
      </c>
      <c r="L91" s="21"/>
      <c r="M91" s="115"/>
      <c r="O91" s="20" t="s">
        <v>11</v>
      </c>
      <c r="P91" s="13"/>
      <c r="Q91" s="13"/>
      <c r="R91" s="13"/>
      <c r="S91" s="13"/>
      <c r="T91" s="13"/>
      <c r="U91" s="21">
        <f t="shared" si="53"/>
        <v>0</v>
      </c>
      <c r="V91" s="25">
        <f t="shared" ref="V91:V94" si="56">1-W91</f>
        <v>0</v>
      </c>
      <c r="W91" s="23">
        <v>1</v>
      </c>
      <c r="X91" s="21"/>
      <c r="AA91" s="32" t="s">
        <v>25</v>
      </c>
      <c r="AB91" s="16"/>
      <c r="AC91" s="13"/>
      <c r="AD91" s="13"/>
      <c r="AE91" s="13"/>
      <c r="AF91" s="13"/>
      <c r="AG91" s="13"/>
      <c r="AH91" s="13"/>
      <c r="AJ91" s="21">
        <f t="shared" si="54"/>
        <v>0</v>
      </c>
      <c r="AK91" s="25">
        <f>1-AL91</f>
        <v>0</v>
      </c>
      <c r="AL91" s="23">
        <v>1</v>
      </c>
    </row>
    <row r="92" spans="1:39" ht="45">
      <c r="A92" s="20" t="s">
        <v>12</v>
      </c>
      <c r="B92" s="13"/>
      <c r="C92" s="13"/>
      <c r="D92" s="13"/>
      <c r="E92" s="13"/>
      <c r="F92" s="13"/>
      <c r="G92" s="13"/>
      <c r="H92" s="13"/>
      <c r="I92" s="21">
        <f t="shared" si="52"/>
        <v>0</v>
      </c>
      <c r="J92" s="22">
        <f t="shared" si="55"/>
        <v>0</v>
      </c>
      <c r="K92" s="23">
        <v>1</v>
      </c>
      <c r="L92" s="21"/>
      <c r="M92" s="115"/>
      <c r="O92" s="20" t="s">
        <v>21</v>
      </c>
      <c r="P92" s="13"/>
      <c r="Q92" s="13"/>
      <c r="R92" s="13">
        <v>5</v>
      </c>
      <c r="S92" s="13"/>
      <c r="T92" s="13">
        <v>1</v>
      </c>
      <c r="U92" s="21">
        <f t="shared" si="53"/>
        <v>6</v>
      </c>
      <c r="V92" s="25">
        <f t="shared" si="56"/>
        <v>0.16666666666666663</v>
      </c>
      <c r="W92" s="23">
        <f>R92/U92</f>
        <v>0.83333333333333337</v>
      </c>
      <c r="X92" s="21"/>
      <c r="AA92" s="32" t="s">
        <v>26</v>
      </c>
      <c r="AB92" s="16"/>
      <c r="AC92" s="13"/>
      <c r="AD92" s="13">
        <v>2</v>
      </c>
      <c r="AE92" s="13"/>
      <c r="AF92" s="13"/>
      <c r="AG92" s="13"/>
      <c r="AH92" s="13"/>
      <c r="AJ92" s="21">
        <f t="shared" si="54"/>
        <v>2</v>
      </c>
      <c r="AK92" s="25">
        <f t="shared" ref="AK92:AK97" si="57">1-AL92</f>
        <v>0</v>
      </c>
      <c r="AL92" s="23">
        <f>AD92/AJ92</f>
        <v>1</v>
      </c>
    </row>
    <row r="93" spans="1:39" ht="42">
      <c r="A93" s="20" t="s">
        <v>13</v>
      </c>
      <c r="B93" s="13"/>
      <c r="C93" s="13">
        <v>1</v>
      </c>
      <c r="D93" s="13"/>
      <c r="E93" s="13">
        <v>5</v>
      </c>
      <c r="F93" s="13"/>
      <c r="G93" s="13"/>
      <c r="H93" s="13"/>
      <c r="I93" s="21">
        <f t="shared" si="52"/>
        <v>6</v>
      </c>
      <c r="J93" s="22">
        <f t="shared" si="55"/>
        <v>0.16666666666666663</v>
      </c>
      <c r="K93" s="23">
        <f>E93/I93</f>
        <v>0.83333333333333337</v>
      </c>
      <c r="L93" s="21"/>
      <c r="M93" s="115"/>
      <c r="O93" s="20" t="s">
        <v>22</v>
      </c>
      <c r="P93" s="13"/>
      <c r="Q93" s="13"/>
      <c r="R93" s="13"/>
      <c r="S93" s="13"/>
      <c r="T93" s="13"/>
      <c r="U93" s="21">
        <f t="shared" si="53"/>
        <v>0</v>
      </c>
      <c r="V93" s="25">
        <f t="shared" si="56"/>
        <v>0</v>
      </c>
      <c r="W93" s="23">
        <v>1</v>
      </c>
      <c r="X93" s="21"/>
      <c r="AA93" s="32" t="s">
        <v>27</v>
      </c>
      <c r="AB93" s="16"/>
      <c r="AC93" s="13"/>
      <c r="AD93" s="13"/>
      <c r="AE93" s="13">
        <v>4</v>
      </c>
      <c r="AF93" s="13"/>
      <c r="AG93" s="13"/>
      <c r="AH93" s="13"/>
      <c r="AJ93" s="21">
        <f t="shared" si="54"/>
        <v>4</v>
      </c>
      <c r="AK93" s="25">
        <f t="shared" si="57"/>
        <v>0</v>
      </c>
      <c r="AL93" s="23">
        <f>AE93/AJ93</f>
        <v>1</v>
      </c>
    </row>
    <row r="94" spans="1:39" ht="45">
      <c r="A94" s="20" t="s">
        <v>14</v>
      </c>
      <c r="B94" s="13"/>
      <c r="C94" s="13"/>
      <c r="D94" s="13"/>
      <c r="E94" s="13"/>
      <c r="F94" s="13"/>
      <c r="G94" s="13"/>
      <c r="H94" s="13"/>
      <c r="I94" s="21">
        <f t="shared" si="52"/>
        <v>0</v>
      </c>
      <c r="J94" s="22">
        <f t="shared" si="55"/>
        <v>0</v>
      </c>
      <c r="K94" s="23">
        <v>1</v>
      </c>
      <c r="L94" s="21"/>
      <c r="M94" s="115"/>
      <c r="O94" s="20" t="s">
        <v>16</v>
      </c>
      <c r="P94" s="13"/>
      <c r="Q94" s="13">
        <v>2</v>
      </c>
      <c r="R94" s="13">
        <v>4</v>
      </c>
      <c r="S94" s="13"/>
      <c r="T94" s="13">
        <v>1</v>
      </c>
      <c r="U94" s="21">
        <f t="shared" si="53"/>
        <v>7</v>
      </c>
      <c r="V94" s="25">
        <f t="shared" si="56"/>
        <v>0.85714285714285721</v>
      </c>
      <c r="W94" s="23">
        <f>T94/U94</f>
        <v>0.14285714285714285</v>
      </c>
      <c r="X94" s="21"/>
      <c r="AA94" s="32" t="s">
        <v>28</v>
      </c>
      <c r="AB94" s="16"/>
      <c r="AC94" s="13"/>
      <c r="AD94" s="13"/>
      <c r="AE94" s="13"/>
      <c r="AF94" s="13"/>
      <c r="AG94" s="13"/>
      <c r="AH94" s="13"/>
      <c r="AJ94" s="21">
        <f t="shared" si="54"/>
        <v>0</v>
      </c>
      <c r="AK94" s="25">
        <f t="shared" si="57"/>
        <v>0</v>
      </c>
      <c r="AL94" s="23">
        <v>1</v>
      </c>
    </row>
    <row r="95" spans="1:39" ht="30">
      <c r="A95" s="20" t="s">
        <v>15</v>
      </c>
      <c r="B95" s="13"/>
      <c r="C95" s="13"/>
      <c r="D95" s="13"/>
      <c r="E95" s="13"/>
      <c r="F95" s="13"/>
      <c r="G95" s="13"/>
      <c r="H95" s="13"/>
      <c r="I95" s="21">
        <f t="shared" si="52"/>
        <v>0</v>
      </c>
      <c r="J95" s="22">
        <f t="shared" si="55"/>
        <v>0</v>
      </c>
      <c r="K95" s="23">
        <v>1</v>
      </c>
      <c r="L95" s="21"/>
      <c r="M95" s="115"/>
      <c r="O95" s="33" t="s">
        <v>17</v>
      </c>
      <c r="P95" s="21">
        <f>SUM(P90:P94)</f>
        <v>0</v>
      </c>
      <c r="Q95" s="21">
        <f>SUM(Q90:Q94)</f>
        <v>12</v>
      </c>
      <c r="R95" s="21">
        <f>SUM(R90:R94)</f>
        <v>18</v>
      </c>
      <c r="S95" s="21">
        <f>SUM(S90:S94)</f>
        <v>0</v>
      </c>
      <c r="T95" s="21">
        <f>SUM(T90:T94)</f>
        <v>2</v>
      </c>
      <c r="U95" s="21">
        <f t="shared" si="53"/>
        <v>32</v>
      </c>
      <c r="V95" s="21"/>
      <c r="W95" s="34"/>
      <c r="X95" s="21"/>
      <c r="AA95" s="32" t="s">
        <v>29</v>
      </c>
      <c r="AB95" s="16"/>
      <c r="AC95" s="13"/>
      <c r="AD95" s="13"/>
      <c r="AE95" s="13"/>
      <c r="AF95" s="13"/>
      <c r="AG95" s="13"/>
      <c r="AH95" s="13"/>
      <c r="AJ95" s="21">
        <f t="shared" si="54"/>
        <v>0</v>
      </c>
      <c r="AK95" s="25">
        <f t="shared" si="57"/>
        <v>0</v>
      </c>
      <c r="AL95" s="23">
        <v>1</v>
      </c>
    </row>
    <row r="96" spans="1:39" ht="45">
      <c r="A96" s="20" t="s">
        <v>16</v>
      </c>
      <c r="B96" s="13"/>
      <c r="C96" s="13">
        <v>2</v>
      </c>
      <c r="D96" s="13"/>
      <c r="E96" s="13">
        <v>4</v>
      </c>
      <c r="F96" s="13"/>
      <c r="G96" s="13"/>
      <c r="H96" s="13"/>
      <c r="I96" s="21">
        <f t="shared" si="52"/>
        <v>6</v>
      </c>
      <c r="J96" s="22">
        <f t="shared" si="55"/>
        <v>1</v>
      </c>
      <c r="K96" s="23">
        <f>H96/I96</f>
        <v>0</v>
      </c>
      <c r="L96" s="21"/>
      <c r="M96" s="115"/>
      <c r="O96" s="33" t="s">
        <v>31</v>
      </c>
      <c r="P96" s="25">
        <f>1-P97</f>
        <v>0</v>
      </c>
      <c r="Q96" s="25">
        <f t="shared" ref="Q96:T96" si="58">1-Q97</f>
        <v>1</v>
      </c>
      <c r="R96" s="25">
        <f t="shared" si="58"/>
        <v>0.72222222222222221</v>
      </c>
      <c r="S96" s="25">
        <f t="shared" si="58"/>
        <v>0</v>
      </c>
      <c r="T96" s="25">
        <f t="shared" si="58"/>
        <v>0.5</v>
      </c>
      <c r="U96" s="13"/>
      <c r="V96" s="35" t="s">
        <v>32</v>
      </c>
      <c r="W96" s="36">
        <f>W101</f>
        <v>7.7605321507760533E-2</v>
      </c>
      <c r="X96" s="21"/>
      <c r="AA96" s="32" t="s">
        <v>30</v>
      </c>
      <c r="AB96" s="16"/>
      <c r="AC96" s="13"/>
      <c r="AD96" s="13"/>
      <c r="AE96" s="13"/>
      <c r="AF96" s="13"/>
      <c r="AG96" s="13"/>
      <c r="AH96" s="13">
        <v>22</v>
      </c>
      <c r="AJ96" s="21">
        <f t="shared" si="54"/>
        <v>22</v>
      </c>
      <c r="AK96" s="25">
        <f t="shared" si="57"/>
        <v>0</v>
      </c>
      <c r="AL96" s="23">
        <f>AH96/AJ96</f>
        <v>1</v>
      </c>
    </row>
    <row r="97" spans="1:39" ht="29" thickBot="1">
      <c r="A97" s="33" t="s">
        <v>17</v>
      </c>
      <c r="B97" s="21">
        <f t="shared" ref="B97:H97" si="59">SUM(B90:B96)</f>
        <v>0</v>
      </c>
      <c r="C97" s="21">
        <f t="shared" si="59"/>
        <v>14</v>
      </c>
      <c r="D97" s="21">
        <f t="shared" si="59"/>
        <v>0</v>
      </c>
      <c r="E97" s="21">
        <f t="shared" si="59"/>
        <v>18</v>
      </c>
      <c r="F97" s="21">
        <f t="shared" si="59"/>
        <v>0</v>
      </c>
      <c r="G97" s="21">
        <f t="shared" si="59"/>
        <v>0</v>
      </c>
      <c r="H97" s="21">
        <f t="shared" si="59"/>
        <v>0</v>
      </c>
      <c r="I97" s="21">
        <f t="shared" si="52"/>
        <v>32</v>
      </c>
      <c r="J97" s="37"/>
      <c r="K97" s="34"/>
      <c r="L97" s="21"/>
      <c r="M97" s="115"/>
      <c r="O97" s="38" t="s">
        <v>33</v>
      </c>
      <c r="P97" s="39">
        <v>1</v>
      </c>
      <c r="Q97" s="40">
        <f>Q91/Q95</f>
        <v>0</v>
      </c>
      <c r="R97" s="40">
        <f>R92/R95</f>
        <v>0.27777777777777779</v>
      </c>
      <c r="S97" s="40">
        <v>1</v>
      </c>
      <c r="T97" s="39">
        <f>T94/T95</f>
        <v>0.5</v>
      </c>
      <c r="U97" s="41"/>
      <c r="V97" s="42" t="s">
        <v>34</v>
      </c>
      <c r="W97" s="43">
        <f>X98</f>
        <v>0.1875</v>
      </c>
      <c r="X97" s="44"/>
      <c r="AA97" s="60" t="s">
        <v>16</v>
      </c>
      <c r="AI97" s="24">
        <v>2</v>
      </c>
      <c r="AJ97" s="21">
        <f>SUM(AB97:AI97)</f>
        <v>2</v>
      </c>
      <c r="AK97" s="25">
        <f t="shared" si="57"/>
        <v>0</v>
      </c>
      <c r="AL97" s="23">
        <f>AI97/AJ97</f>
        <v>1</v>
      </c>
    </row>
    <row r="98" spans="1:39" ht="28">
      <c r="A98" s="33" t="s">
        <v>31</v>
      </c>
      <c r="B98" s="25">
        <f>1-B99</f>
        <v>0</v>
      </c>
      <c r="C98" s="25">
        <f t="shared" ref="C98:H98" si="60">1-C99</f>
        <v>1</v>
      </c>
      <c r="D98" s="25">
        <f t="shared" si="60"/>
        <v>0</v>
      </c>
      <c r="E98" s="25">
        <f t="shared" si="60"/>
        <v>0.72222222222222221</v>
      </c>
      <c r="F98" s="25">
        <f t="shared" si="60"/>
        <v>0</v>
      </c>
      <c r="G98" s="25">
        <f t="shared" si="60"/>
        <v>0</v>
      </c>
      <c r="H98" s="25">
        <f t="shared" si="60"/>
        <v>0</v>
      </c>
      <c r="I98" s="62"/>
      <c r="J98" s="46" t="s">
        <v>32</v>
      </c>
      <c r="K98" s="36">
        <f>K103</f>
        <v>5.6768558951965066E-2</v>
      </c>
      <c r="L98" s="21"/>
      <c r="M98" s="115"/>
      <c r="O98" s="129" t="s">
        <v>136</v>
      </c>
      <c r="V98" s="4"/>
      <c r="X98" s="50">
        <f>SUM(P90,Q91,R92,S93,T94)/U95</f>
        <v>0.1875</v>
      </c>
      <c r="AA98" s="33" t="s">
        <v>17</v>
      </c>
      <c r="AB98" s="21">
        <f t="shared" ref="AB98:AH98" si="61">SUM(AB90:AB97)</f>
        <v>0</v>
      </c>
      <c r="AC98" s="21">
        <f t="shared" si="61"/>
        <v>0</v>
      </c>
      <c r="AD98" s="21">
        <f t="shared" si="61"/>
        <v>2</v>
      </c>
      <c r="AE98" s="21">
        <f t="shared" si="61"/>
        <v>4</v>
      </c>
      <c r="AF98" s="21">
        <f t="shared" si="61"/>
        <v>2</v>
      </c>
      <c r="AG98" s="21">
        <f t="shared" si="61"/>
        <v>0</v>
      </c>
      <c r="AH98" s="21">
        <f t="shared" si="61"/>
        <v>22</v>
      </c>
      <c r="AI98" s="21">
        <f>SUM(AI90:AI97)</f>
        <v>2</v>
      </c>
      <c r="AJ98" s="21">
        <f>SUM(AB98:AI98)</f>
        <v>32</v>
      </c>
      <c r="AL98" s="51"/>
    </row>
    <row r="99" spans="1:39" ht="29" thickBot="1">
      <c r="A99" s="38" t="s">
        <v>33</v>
      </c>
      <c r="B99" s="39">
        <v>1</v>
      </c>
      <c r="C99" s="40">
        <f>C91/C97</f>
        <v>0</v>
      </c>
      <c r="D99" s="40">
        <v>1</v>
      </c>
      <c r="E99" s="40">
        <f>E93/E97</f>
        <v>0.27777777777777779</v>
      </c>
      <c r="F99" s="40">
        <v>1</v>
      </c>
      <c r="G99" s="40">
        <v>1</v>
      </c>
      <c r="H99" s="39">
        <v>1</v>
      </c>
      <c r="I99" s="63"/>
      <c r="J99" s="52" t="s">
        <v>34</v>
      </c>
      <c r="K99" s="43">
        <f>L100</f>
        <v>0.15625</v>
      </c>
      <c r="L99" s="44"/>
      <c r="M99" s="116"/>
      <c r="O99" s="141" t="s">
        <v>135</v>
      </c>
      <c r="P99" s="122">
        <f>P95*U90</f>
        <v>0</v>
      </c>
      <c r="Q99" s="122">
        <f>Q95*U91</f>
        <v>0</v>
      </c>
      <c r="R99" s="122">
        <f>R95*U92</f>
        <v>108</v>
      </c>
      <c r="S99" s="122">
        <f>S95*U93</f>
        <v>0</v>
      </c>
      <c r="T99" s="122">
        <f>T95*U94</f>
        <v>14</v>
      </c>
      <c r="U99" s="123">
        <f>SUM(N99:T99)</f>
        <v>122</v>
      </c>
      <c r="V99" s="128"/>
      <c r="W99" s="123"/>
      <c r="X99" s="44"/>
      <c r="AA99" s="33" t="s">
        <v>35</v>
      </c>
      <c r="AB99" s="53">
        <f>1-AB100</f>
        <v>0</v>
      </c>
      <c r="AC99" s="54">
        <f>1-AC100</f>
        <v>0</v>
      </c>
      <c r="AD99" s="54">
        <f t="shared" ref="AD99:AI99" si="62">1-AD100</f>
        <v>0</v>
      </c>
      <c r="AE99" s="54">
        <f t="shared" si="62"/>
        <v>0</v>
      </c>
      <c r="AF99" s="54">
        <f t="shared" si="62"/>
        <v>1</v>
      </c>
      <c r="AG99" s="54">
        <f t="shared" si="62"/>
        <v>0</v>
      </c>
      <c r="AH99" s="54">
        <f t="shared" si="62"/>
        <v>0</v>
      </c>
      <c r="AI99" s="54">
        <f t="shared" si="62"/>
        <v>0</v>
      </c>
      <c r="AK99" s="35" t="s">
        <v>32</v>
      </c>
      <c r="AL99" s="36">
        <f>AL104</f>
        <v>0.87596899224806202</v>
      </c>
    </row>
    <row r="100" spans="1:39" ht="33" thickBot="1">
      <c r="A100" s="129" t="s">
        <v>136</v>
      </c>
      <c r="L100" s="50">
        <f>SUM(B90,C91,D92,E93,F94,G95,H96)/I97</f>
        <v>0.15625</v>
      </c>
      <c r="M100" s="113"/>
      <c r="O100" s="142" t="s">
        <v>134</v>
      </c>
      <c r="P100" s="124">
        <f>(P95*$U90)+(P95*$U91)+(P95*$U92)+(P95*$U93)+(P95*$U94)</f>
        <v>0</v>
      </c>
      <c r="Q100" s="124">
        <f t="shared" ref="Q100:T100" si="63">(Q95*$U90)+(Q95*$U91)+(Q95*$U92)+(Q95*$U93)+(Q95*$U94)</f>
        <v>384</v>
      </c>
      <c r="R100" s="124">
        <f t="shared" si="63"/>
        <v>576</v>
      </c>
      <c r="S100" s="124">
        <f t="shared" si="63"/>
        <v>0</v>
      </c>
      <c r="T100" s="124">
        <f t="shared" si="63"/>
        <v>64</v>
      </c>
      <c r="U100" s="125">
        <f>SUM(N100:T100)</f>
        <v>1024</v>
      </c>
      <c r="V100" s="127"/>
      <c r="W100" s="125" t="s">
        <v>32</v>
      </c>
      <c r="X100" s="44"/>
      <c r="AA100" s="38" t="s">
        <v>33</v>
      </c>
      <c r="AB100" s="56">
        <v>1</v>
      </c>
      <c r="AC100" s="57">
        <v>1</v>
      </c>
      <c r="AD100" s="57">
        <f>AD92/AD98</f>
        <v>1</v>
      </c>
      <c r="AE100" s="57">
        <f>AE93/AE98</f>
        <v>1</v>
      </c>
      <c r="AF100" s="57">
        <f>AF94/AF98</f>
        <v>0</v>
      </c>
      <c r="AG100" s="57">
        <v>1</v>
      </c>
      <c r="AH100" s="63">
        <v>1</v>
      </c>
      <c r="AI100" s="63">
        <v>1</v>
      </c>
      <c r="AJ100" s="41"/>
      <c r="AK100" s="42" t="s">
        <v>34</v>
      </c>
      <c r="AL100" s="43">
        <f>AM101</f>
        <v>0.9375</v>
      </c>
    </row>
    <row r="101" spans="1:39" ht="22" thickTop="1">
      <c r="A101" s="130" t="s">
        <v>135</v>
      </c>
      <c r="B101" s="122">
        <f>B97*I90</f>
        <v>0</v>
      </c>
      <c r="C101" s="122">
        <f>C97*I91</f>
        <v>0</v>
      </c>
      <c r="D101" s="122">
        <f>D97*I92</f>
        <v>0</v>
      </c>
      <c r="E101" s="122">
        <f>E97*I93</f>
        <v>108</v>
      </c>
      <c r="F101" s="122">
        <f>F97*I94</f>
        <v>0</v>
      </c>
      <c r="G101" s="122">
        <f>G97*I95</f>
        <v>0</v>
      </c>
      <c r="H101" s="122">
        <f>H97*I96</f>
        <v>0</v>
      </c>
      <c r="I101" s="123">
        <f>SUM(B101:H101)</f>
        <v>108</v>
      </c>
      <c r="J101" s="128"/>
      <c r="K101" s="123"/>
      <c r="L101" s="44"/>
      <c r="M101" s="116"/>
      <c r="O101" s="13"/>
      <c r="P101" s="115"/>
      <c r="Q101" s="115"/>
      <c r="R101" s="115"/>
      <c r="S101" s="115"/>
      <c r="T101" s="115"/>
      <c r="U101" t="s">
        <v>110</v>
      </c>
      <c r="V101" s="102">
        <f>X98</f>
        <v>0.1875</v>
      </c>
      <c r="W101" s="104">
        <f>(V101-V102)/(1-V102)</f>
        <v>7.7605321507760533E-2</v>
      </c>
      <c r="X101" s="44"/>
      <c r="AA101" s="129" t="s">
        <v>136</v>
      </c>
      <c r="AK101" s="4"/>
      <c r="AM101" s="50">
        <f>SUM(AB90,AC91,AD92,AE93,AF94,AG95,AH96,AI97)/AJ98</f>
        <v>0.9375</v>
      </c>
    </row>
    <row r="102" spans="1:39" ht="29" thickBot="1">
      <c r="A102" s="131" t="s">
        <v>134</v>
      </c>
      <c r="B102" s="124">
        <f>(B97*$I90)+(B97*$I91)+(B97*$I92)+(B97*$I93)+(B97*$I94)+(B97*$I95)+(B97*$I96)</f>
        <v>0</v>
      </c>
      <c r="C102" s="124">
        <f>(C97*$I90)+(C97*$I91)+(C97*$I92)+(C97*$I93)+(C97*$I94)+(C97*$I95)+(C97*$I96)</f>
        <v>448</v>
      </c>
      <c r="D102" s="124">
        <f>(D97*$I90)+(D97*$I91)+(D97*$I92)+(D97*$I93)+(D97*$I94)+(D97*$I95)+(D97*$I96)</f>
        <v>0</v>
      </c>
      <c r="E102" s="124">
        <f>(E97*$I90)+(E97*$I91)+(E97*$I92)+(E97*$I93)+(E97*$I94)+(E97*$I95)+(E97*$I96)</f>
        <v>576</v>
      </c>
      <c r="F102" s="124">
        <f>(F97*$I90)+(F97*$I91)+(F97*$I92)+(F97*$I93)+(F97*$I94)+(F97*$I95)+(F97*$I96)</f>
        <v>0</v>
      </c>
      <c r="G102" s="124">
        <f>(G97*$I90)+(G97*$I91)+(G97*$I92)+(G97*$I93)+(G97*$I94)+(G97*$I95)+(G97*$I96)</f>
        <v>0</v>
      </c>
      <c r="H102" s="124">
        <f>(H97*$I90)+(H97*$I91)+(H97*$I92)+(H97*$I93)+(H97*$I94)+(H97*$I95)+(H97*$I96)</f>
        <v>0</v>
      </c>
      <c r="I102" s="125">
        <f>SUM(B102:H102)</f>
        <v>1024</v>
      </c>
      <c r="J102" s="127"/>
      <c r="K102" s="125" t="s">
        <v>32</v>
      </c>
      <c r="L102" s="44"/>
      <c r="M102" s="116"/>
      <c r="O102" s="187"/>
      <c r="P102" s="115"/>
      <c r="Q102" s="115"/>
      <c r="R102" s="115"/>
      <c r="S102" s="115"/>
      <c r="T102" s="115"/>
      <c r="U102" t="s">
        <v>111</v>
      </c>
      <c r="V102" s="103">
        <f>U99/U100</f>
        <v>0.119140625</v>
      </c>
      <c r="W102" s="101"/>
      <c r="AA102" s="141" t="s">
        <v>135</v>
      </c>
      <c r="AB102" s="122">
        <f>AB98*AJ90</f>
        <v>0</v>
      </c>
      <c r="AC102" s="122">
        <f>AC98*AJ91</f>
        <v>0</v>
      </c>
      <c r="AD102" s="122">
        <f>AD98*AJ92</f>
        <v>4</v>
      </c>
      <c r="AE102" s="122">
        <f>AE98*AJ93</f>
        <v>16</v>
      </c>
      <c r="AF102" s="122">
        <f>AF98*AJ94</f>
        <v>0</v>
      </c>
      <c r="AG102" s="122">
        <f>AG98*AJ95</f>
        <v>0</v>
      </c>
      <c r="AH102" s="122">
        <f>AH98*AJ96</f>
        <v>484</v>
      </c>
      <c r="AI102" s="122">
        <f>AI98*AJ97</f>
        <v>4</v>
      </c>
      <c r="AJ102" s="123">
        <f>SUM(AB102:AI102)</f>
        <v>508</v>
      </c>
      <c r="AK102" s="128"/>
      <c r="AL102" s="123"/>
      <c r="AM102" s="44"/>
    </row>
    <row r="103" spans="1:39" ht="30" thickTop="1" thickBot="1">
      <c r="A103" s="13"/>
      <c r="B103" s="115"/>
      <c r="C103" s="115"/>
      <c r="D103" s="115"/>
      <c r="E103" s="115"/>
      <c r="F103" s="115"/>
      <c r="G103" s="115"/>
      <c r="H103" s="115"/>
      <c r="I103" t="s">
        <v>110</v>
      </c>
      <c r="J103" s="102">
        <f>L100</f>
        <v>0.15625</v>
      </c>
      <c r="K103" s="104">
        <f>(J103-J104)/(1-J104)</f>
        <v>5.6768558951965066E-2</v>
      </c>
      <c r="L103" s="44"/>
      <c r="M103" s="116"/>
      <c r="O103" s="24"/>
      <c r="P103" s="100"/>
      <c r="Q103" s="100"/>
      <c r="R103" s="100"/>
      <c r="S103" s="100"/>
      <c r="T103" s="100"/>
      <c r="U103" s="111"/>
      <c r="V103" s="132"/>
      <c r="W103" s="133"/>
      <c r="X103" s="24"/>
      <c r="AA103" s="142" t="s">
        <v>134</v>
      </c>
      <c r="AB103" s="124">
        <f>(AB98*$AJ90)+(AB98*$AJ91)+(AB98*$AJ92)+(AB98*$AJ93)+(AB98*$AJ94)+(AB98*$AJ95)+(AB98*$AJ96)+(AB98*$AJ97)</f>
        <v>0</v>
      </c>
      <c r="AC103" s="124">
        <f t="shared" ref="AC103:AH103" si="64">(AC98*$AJ90)+(AC98*$AJ91)+(AC98*$AJ92)+(AC98*$AJ93)+(AC98*$AJ94)+(AC98*$AJ95)+(AC98*$AJ96)+(AC98*$AJ97)</f>
        <v>0</v>
      </c>
      <c r="AD103" s="124">
        <f t="shared" si="64"/>
        <v>64</v>
      </c>
      <c r="AE103" s="124">
        <f t="shared" si="64"/>
        <v>128</v>
      </c>
      <c r="AF103" s="124">
        <f t="shared" si="64"/>
        <v>64</v>
      </c>
      <c r="AG103" s="124">
        <f t="shared" si="64"/>
        <v>0</v>
      </c>
      <c r="AH103" s="124">
        <f t="shared" si="64"/>
        <v>704</v>
      </c>
      <c r="AI103" s="124">
        <f>(AI98*$AJ90)+(AI98*$AJ91)+(AI98*$AJ92)+(AI98*$AJ93)+(AI98*$AJ94)+(AI98*$AJ95)+(AI98*$AJ96)+(AI98*$AJ97)</f>
        <v>64</v>
      </c>
      <c r="AJ103" s="125">
        <f>SUM(AB103:AI103)</f>
        <v>1024</v>
      </c>
      <c r="AK103" s="127"/>
      <c r="AL103" s="125" t="s">
        <v>32</v>
      </c>
      <c r="AM103" s="44"/>
    </row>
    <row r="104" spans="1:39" ht="22" thickTop="1">
      <c r="A104" s="187"/>
      <c r="B104" s="115"/>
      <c r="C104" s="115"/>
      <c r="D104" s="115"/>
      <c r="E104" s="115"/>
      <c r="F104" s="115"/>
      <c r="G104" s="115"/>
      <c r="H104" s="115"/>
      <c r="I104" t="s">
        <v>111</v>
      </c>
      <c r="J104" s="103">
        <f>I101/I102</f>
        <v>0.10546875</v>
      </c>
      <c r="K104" s="101"/>
      <c r="O104" s="24"/>
      <c r="P104" s="100"/>
      <c r="Q104" s="100"/>
      <c r="R104" s="100"/>
      <c r="S104" s="100"/>
      <c r="T104" s="100"/>
      <c r="U104" s="111"/>
      <c r="V104" s="132"/>
      <c r="W104" s="101"/>
      <c r="X104" s="24"/>
      <c r="AA104" s="95"/>
      <c r="AB104" s="13"/>
      <c r="AC104" s="115"/>
      <c r="AD104" s="115"/>
      <c r="AE104" s="115"/>
      <c r="AF104" s="115"/>
      <c r="AG104" s="115"/>
      <c r="AJ104" t="s">
        <v>110</v>
      </c>
      <c r="AK104" s="102">
        <f>AM101</f>
        <v>0.9375</v>
      </c>
      <c r="AL104" s="104">
        <f>(AK104-AK105)/(1-AK105)</f>
        <v>0.87596899224806202</v>
      </c>
      <c r="AM104" s="44"/>
    </row>
    <row r="105" spans="1:39" ht="21">
      <c r="A105" s="59"/>
      <c r="B105" s="126"/>
      <c r="C105" s="126"/>
      <c r="D105" s="126"/>
      <c r="E105" s="126"/>
      <c r="F105" s="126"/>
      <c r="G105" s="126"/>
      <c r="H105" s="126"/>
      <c r="I105" s="134"/>
      <c r="J105" s="135"/>
      <c r="K105" s="134"/>
      <c r="L105" s="5"/>
      <c r="M105" s="117"/>
      <c r="N105" s="5"/>
      <c r="O105" s="59"/>
      <c r="P105" s="59"/>
      <c r="Q105" s="59"/>
      <c r="R105" s="59"/>
      <c r="S105" s="59"/>
      <c r="T105" s="59"/>
      <c r="U105" s="59"/>
      <c r="V105" s="59"/>
      <c r="W105" s="59"/>
      <c r="X105" s="59"/>
      <c r="AA105" s="59"/>
      <c r="AB105" s="95"/>
      <c r="AC105" s="115"/>
      <c r="AD105" s="115"/>
      <c r="AE105" s="115"/>
      <c r="AF105" s="115"/>
      <c r="AG105" s="115"/>
      <c r="AJ105" t="s">
        <v>111</v>
      </c>
      <c r="AK105" s="103">
        <f>AJ102/AJ103</f>
        <v>0.49609375</v>
      </c>
      <c r="AL105" s="101"/>
    </row>
    <row r="106" spans="1:39" ht="21">
      <c r="A106" s="59"/>
      <c r="B106" s="126"/>
      <c r="C106" s="126"/>
      <c r="D106" s="126"/>
      <c r="E106" s="126"/>
      <c r="F106" s="126"/>
      <c r="G106" s="126"/>
      <c r="H106" s="126"/>
      <c r="I106" s="137"/>
      <c r="J106" s="134"/>
      <c r="K106" s="135"/>
      <c r="L106" s="5"/>
      <c r="M106" s="117"/>
      <c r="N106" s="5"/>
      <c r="O106" s="59"/>
      <c r="P106" s="59"/>
      <c r="Q106" s="59"/>
      <c r="R106" s="59"/>
      <c r="S106" s="59"/>
      <c r="T106" s="59"/>
      <c r="U106" s="59"/>
      <c r="V106" s="59"/>
      <c r="W106" s="59"/>
      <c r="X106" s="59"/>
      <c r="AA106" s="59"/>
      <c r="AB106" s="126"/>
      <c r="AC106" s="126"/>
      <c r="AD106" s="126"/>
      <c r="AE106" s="126"/>
      <c r="AF106" s="126"/>
      <c r="AG106" s="126"/>
      <c r="AH106" s="126"/>
      <c r="AI106" s="126"/>
      <c r="AJ106" s="137"/>
      <c r="AK106" s="137"/>
      <c r="AL106" s="137"/>
      <c r="AM106" s="5"/>
    </row>
    <row r="107" spans="1:39" ht="21">
      <c r="A107" s="59"/>
      <c r="B107" s="126"/>
      <c r="C107" s="126"/>
      <c r="D107" s="126"/>
      <c r="E107" s="126"/>
      <c r="F107" s="126"/>
      <c r="G107" s="126"/>
      <c r="H107" s="126"/>
      <c r="I107" s="137"/>
      <c r="J107" s="138"/>
      <c r="K107" s="139"/>
      <c r="L107" s="5"/>
      <c r="M107" s="117"/>
      <c r="N107" s="5"/>
      <c r="O107" s="59"/>
      <c r="P107" s="59"/>
      <c r="Q107" s="59"/>
      <c r="R107" s="59"/>
      <c r="S107" s="59"/>
      <c r="T107" s="59"/>
      <c r="U107" s="59"/>
      <c r="V107" s="59"/>
      <c r="W107" s="59"/>
      <c r="X107" s="59"/>
      <c r="AA107" s="59"/>
      <c r="AB107" s="126"/>
      <c r="AC107" s="126"/>
      <c r="AD107" s="126"/>
      <c r="AE107" s="126"/>
      <c r="AF107" s="126"/>
      <c r="AG107" s="126"/>
      <c r="AH107" s="126"/>
      <c r="AI107" s="126"/>
      <c r="AJ107" s="137"/>
      <c r="AK107" s="137"/>
      <c r="AL107" s="137"/>
      <c r="AM107" s="5"/>
    </row>
    <row r="108" spans="1:39" ht="17" thickBot="1">
      <c r="A108" s="188" t="s">
        <v>8</v>
      </c>
      <c r="B108" s="188"/>
      <c r="C108" s="188"/>
      <c r="D108" s="188"/>
      <c r="E108" s="188"/>
      <c r="F108" s="188"/>
      <c r="G108" s="188"/>
      <c r="H108" s="188"/>
      <c r="I108" s="188"/>
      <c r="J108" s="188"/>
      <c r="K108" s="188"/>
      <c r="L108" s="6"/>
      <c r="M108" s="112"/>
      <c r="O108" s="188" t="s">
        <v>8</v>
      </c>
      <c r="P108" s="188"/>
      <c r="Q108" s="188"/>
      <c r="R108" s="188"/>
      <c r="S108" s="188"/>
      <c r="T108" s="188"/>
      <c r="U108" s="188"/>
      <c r="V108" s="188"/>
      <c r="W108" s="188"/>
      <c r="X108" s="190"/>
      <c r="AA108" s="188" t="s">
        <v>8</v>
      </c>
      <c r="AB108" s="188"/>
      <c r="AC108" s="188"/>
      <c r="AD108" s="188"/>
      <c r="AE108" s="188"/>
      <c r="AF108" s="188"/>
      <c r="AG108" s="188"/>
      <c r="AH108" s="188"/>
      <c r="AI108" s="188"/>
      <c r="AJ108" s="188"/>
      <c r="AK108" s="188"/>
      <c r="AL108" s="6"/>
    </row>
    <row r="109" spans="1:39" ht="91" thickBot="1">
      <c r="A109" s="8" t="s">
        <v>49</v>
      </c>
      <c r="B109" s="9" t="s">
        <v>10</v>
      </c>
      <c r="C109" s="9" t="s">
        <v>11</v>
      </c>
      <c r="D109" s="9" t="s">
        <v>12</v>
      </c>
      <c r="E109" s="9" t="s">
        <v>13</v>
      </c>
      <c r="F109" s="9" t="s">
        <v>14</v>
      </c>
      <c r="G109" s="9" t="s">
        <v>15</v>
      </c>
      <c r="H109" s="9" t="s">
        <v>16</v>
      </c>
      <c r="I109" s="10" t="s">
        <v>17</v>
      </c>
      <c r="J109" s="11" t="s">
        <v>18</v>
      </c>
      <c r="K109" s="12" t="s">
        <v>19</v>
      </c>
      <c r="L109" s="13"/>
      <c r="M109" s="114"/>
      <c r="O109" s="8" t="s">
        <v>50</v>
      </c>
      <c r="P109" s="9" t="s">
        <v>10</v>
      </c>
      <c r="Q109" s="9" t="s">
        <v>11</v>
      </c>
      <c r="R109" s="9" t="s">
        <v>21</v>
      </c>
      <c r="S109" s="9" t="s">
        <v>22</v>
      </c>
      <c r="T109" s="9" t="s">
        <v>16</v>
      </c>
      <c r="U109" s="10" t="s">
        <v>17</v>
      </c>
      <c r="V109" s="15" t="s">
        <v>18</v>
      </c>
      <c r="W109" s="12" t="s">
        <v>19</v>
      </c>
      <c r="X109" s="16"/>
      <c r="AA109" s="8" t="s">
        <v>51</v>
      </c>
      <c r="AB109" s="17" t="s">
        <v>24</v>
      </c>
      <c r="AC109" s="17" t="s">
        <v>25</v>
      </c>
      <c r="AD109" s="17" t="s">
        <v>26</v>
      </c>
      <c r="AE109" s="17" t="s">
        <v>27</v>
      </c>
      <c r="AF109" s="17" t="s">
        <v>28</v>
      </c>
      <c r="AG109" s="17" t="s">
        <v>29</v>
      </c>
      <c r="AH109" s="17" t="s">
        <v>30</v>
      </c>
      <c r="AI109" s="17" t="s">
        <v>16</v>
      </c>
      <c r="AJ109" s="18" t="s">
        <v>17</v>
      </c>
      <c r="AK109" s="18" t="s">
        <v>18</v>
      </c>
      <c r="AL109" s="19" t="s">
        <v>19</v>
      </c>
    </row>
    <row r="110" spans="1:39" ht="56">
      <c r="A110" s="20" t="s">
        <v>10</v>
      </c>
      <c r="B110" s="13"/>
      <c r="C110" s="13">
        <v>7</v>
      </c>
      <c r="D110" s="13"/>
      <c r="E110" s="13">
        <v>9</v>
      </c>
      <c r="F110" s="13"/>
      <c r="G110" s="13"/>
      <c r="H110" s="13"/>
      <c r="I110" s="13">
        <f t="shared" ref="I110:I117" si="65">SUM(B110:H110)</f>
        <v>16</v>
      </c>
      <c r="J110" s="22">
        <f>1-K110</f>
        <v>1</v>
      </c>
      <c r="K110" s="23">
        <f>0/8</f>
        <v>0</v>
      </c>
      <c r="L110" s="21"/>
      <c r="M110" s="115"/>
      <c r="O110" s="20" t="s">
        <v>10</v>
      </c>
      <c r="P110" s="13"/>
      <c r="Q110" s="13">
        <v>6</v>
      </c>
      <c r="R110" s="13">
        <v>9</v>
      </c>
      <c r="S110" s="13"/>
      <c r="T110" s="13">
        <v>1</v>
      </c>
      <c r="U110" s="21">
        <f t="shared" ref="U110:U115" si="66">SUM(P110:T110)</f>
        <v>16</v>
      </c>
      <c r="V110" s="25">
        <f>1-W110</f>
        <v>1</v>
      </c>
      <c r="W110" s="23">
        <f>P110/U110</f>
        <v>0</v>
      </c>
      <c r="X110" s="21"/>
      <c r="AA110" s="26" t="s">
        <v>24</v>
      </c>
      <c r="AB110" s="27"/>
      <c r="AC110" s="28"/>
      <c r="AD110" s="28"/>
      <c r="AE110" s="28"/>
      <c r="AF110" s="28"/>
      <c r="AG110" s="28"/>
      <c r="AH110" s="28"/>
      <c r="AJ110" s="29">
        <f t="shared" ref="AJ110:AJ116" si="67">SUM(AB110:AH110)</f>
        <v>0</v>
      </c>
      <c r="AK110" s="30">
        <f>1-AL110</f>
        <v>0</v>
      </c>
      <c r="AL110" s="31">
        <v>1</v>
      </c>
    </row>
    <row r="111" spans="1:39" ht="45">
      <c r="A111" s="20" t="s">
        <v>11</v>
      </c>
      <c r="B111" s="13"/>
      <c r="C111" s="13">
        <v>1</v>
      </c>
      <c r="D111" s="13"/>
      <c r="E111" s="13"/>
      <c r="F111" s="13"/>
      <c r="G111" s="13"/>
      <c r="H111" s="13"/>
      <c r="I111" s="13">
        <f t="shared" si="65"/>
        <v>1</v>
      </c>
      <c r="J111" s="22">
        <f t="shared" ref="J111:J116" si="68">1-K111</f>
        <v>0</v>
      </c>
      <c r="K111" s="23">
        <f>C111/I111</f>
        <v>1</v>
      </c>
      <c r="L111" s="21"/>
      <c r="M111" s="115"/>
      <c r="O111" s="20" t="s">
        <v>11</v>
      </c>
      <c r="P111" s="13"/>
      <c r="Q111" s="13"/>
      <c r="R111" s="13"/>
      <c r="S111" s="13"/>
      <c r="T111" s="13"/>
      <c r="U111" s="21">
        <f t="shared" si="66"/>
        <v>0</v>
      </c>
      <c r="V111" s="25">
        <f t="shared" ref="V111:V114" si="69">1-W111</f>
        <v>0</v>
      </c>
      <c r="W111" s="23">
        <v>1</v>
      </c>
      <c r="X111" s="21"/>
      <c r="AA111" s="32" t="s">
        <v>25</v>
      </c>
      <c r="AB111" s="16"/>
      <c r="AC111" s="13"/>
      <c r="AD111" s="13"/>
      <c r="AE111" s="13"/>
      <c r="AF111" s="13"/>
      <c r="AG111" s="13"/>
      <c r="AH111" s="13"/>
      <c r="AJ111" s="21">
        <f t="shared" si="67"/>
        <v>0</v>
      </c>
      <c r="AK111" s="25">
        <f>1-AL111</f>
        <v>0</v>
      </c>
      <c r="AL111" s="23">
        <v>1</v>
      </c>
    </row>
    <row r="112" spans="1:39" ht="45">
      <c r="A112" s="20" t="s">
        <v>12</v>
      </c>
      <c r="B112" s="13"/>
      <c r="C112" s="13"/>
      <c r="D112" s="13"/>
      <c r="E112" s="13"/>
      <c r="F112" s="13"/>
      <c r="G112" s="13"/>
      <c r="H112" s="13"/>
      <c r="I112" s="13">
        <f t="shared" si="65"/>
        <v>0</v>
      </c>
      <c r="J112" s="22">
        <f t="shared" si="68"/>
        <v>0</v>
      </c>
      <c r="K112" s="23">
        <v>1</v>
      </c>
      <c r="L112" s="21"/>
      <c r="M112" s="115"/>
      <c r="O112" s="20" t="s">
        <v>21</v>
      </c>
      <c r="P112" s="13"/>
      <c r="Q112" s="13">
        <v>2</v>
      </c>
      <c r="R112" s="13">
        <v>3</v>
      </c>
      <c r="S112" s="13"/>
      <c r="T112" s="13">
        <v>1</v>
      </c>
      <c r="U112" s="21">
        <f t="shared" si="66"/>
        <v>6</v>
      </c>
      <c r="V112" s="25">
        <f t="shared" si="69"/>
        <v>0.5</v>
      </c>
      <c r="W112" s="23">
        <f>R112/U112</f>
        <v>0.5</v>
      </c>
      <c r="X112" s="21"/>
      <c r="AA112" s="32" t="s">
        <v>26</v>
      </c>
      <c r="AB112" s="16"/>
      <c r="AC112" s="13"/>
      <c r="AD112" s="13">
        <v>2</v>
      </c>
      <c r="AE112" s="13">
        <v>1</v>
      </c>
      <c r="AF112" s="13"/>
      <c r="AG112" s="13"/>
      <c r="AH112" s="13">
        <v>1</v>
      </c>
      <c r="AJ112" s="21">
        <f t="shared" si="67"/>
        <v>4</v>
      </c>
      <c r="AK112" s="25">
        <f t="shared" ref="AK112:AK117" si="70">1-AL112</f>
        <v>0.5</v>
      </c>
      <c r="AL112" s="23">
        <f>AD112/AJ112</f>
        <v>0.5</v>
      </c>
    </row>
    <row r="113" spans="1:39" ht="42">
      <c r="A113" s="20" t="s">
        <v>13</v>
      </c>
      <c r="B113" s="13"/>
      <c r="C113" s="13">
        <v>2</v>
      </c>
      <c r="D113" s="13"/>
      <c r="E113" s="13">
        <v>3</v>
      </c>
      <c r="F113" s="13"/>
      <c r="G113" s="13"/>
      <c r="H113" s="13"/>
      <c r="I113" s="13">
        <f t="shared" si="65"/>
        <v>5</v>
      </c>
      <c r="J113" s="22">
        <f t="shared" si="68"/>
        <v>0.4</v>
      </c>
      <c r="K113" s="23">
        <f>E113/I113</f>
        <v>0.6</v>
      </c>
      <c r="L113" s="21"/>
      <c r="M113" s="115"/>
      <c r="O113" s="20" t="s">
        <v>22</v>
      </c>
      <c r="P113" s="13"/>
      <c r="Q113" s="13"/>
      <c r="R113" s="13"/>
      <c r="S113" s="13"/>
      <c r="T113" s="13"/>
      <c r="U113" s="21">
        <f t="shared" si="66"/>
        <v>0</v>
      </c>
      <c r="V113" s="25">
        <f t="shared" si="69"/>
        <v>0</v>
      </c>
      <c r="W113" s="23">
        <v>1</v>
      </c>
      <c r="X113" s="21"/>
      <c r="AA113" s="32" t="s">
        <v>27</v>
      </c>
      <c r="AB113" s="16"/>
      <c r="AC113" s="13"/>
      <c r="AD113" s="13"/>
      <c r="AE113" s="13">
        <v>3</v>
      </c>
      <c r="AF113" s="13"/>
      <c r="AG113" s="13"/>
      <c r="AH113" s="13">
        <v>2</v>
      </c>
      <c r="AJ113" s="21">
        <f t="shared" si="67"/>
        <v>5</v>
      </c>
      <c r="AK113" s="25">
        <f t="shared" si="70"/>
        <v>0.4</v>
      </c>
      <c r="AL113" s="23">
        <f>AE113/AJ113</f>
        <v>0.6</v>
      </c>
    </row>
    <row r="114" spans="1:39" ht="45">
      <c r="A114" s="20" t="s">
        <v>14</v>
      </c>
      <c r="B114" s="13"/>
      <c r="C114" s="13"/>
      <c r="D114" s="13"/>
      <c r="E114" s="13"/>
      <c r="F114" s="13"/>
      <c r="G114" s="13"/>
      <c r="H114" s="13"/>
      <c r="I114" s="13">
        <f t="shared" si="65"/>
        <v>0</v>
      </c>
      <c r="J114" s="22">
        <f t="shared" si="68"/>
        <v>0</v>
      </c>
      <c r="K114" s="23">
        <v>1</v>
      </c>
      <c r="L114" s="21"/>
      <c r="M114" s="115"/>
      <c r="O114" s="20" t="s">
        <v>16</v>
      </c>
      <c r="P114" s="13"/>
      <c r="Q114" s="13">
        <v>4</v>
      </c>
      <c r="R114" s="13">
        <v>6</v>
      </c>
      <c r="S114" s="13"/>
      <c r="T114" s="13"/>
      <c r="U114" s="21">
        <f t="shared" si="66"/>
        <v>10</v>
      </c>
      <c r="V114" s="25">
        <f t="shared" si="69"/>
        <v>1</v>
      </c>
      <c r="W114" s="23">
        <f>T114/U114</f>
        <v>0</v>
      </c>
      <c r="X114" s="21"/>
      <c r="AA114" s="32" t="s">
        <v>28</v>
      </c>
      <c r="AB114" s="16"/>
      <c r="AC114" s="13"/>
      <c r="AD114" s="13"/>
      <c r="AE114" s="13"/>
      <c r="AF114" s="13"/>
      <c r="AG114" s="13"/>
      <c r="AH114" s="13"/>
      <c r="AJ114" s="21">
        <f t="shared" si="67"/>
        <v>0</v>
      </c>
      <c r="AK114" s="25">
        <f t="shared" si="70"/>
        <v>0</v>
      </c>
      <c r="AL114" s="23">
        <v>1</v>
      </c>
    </row>
    <row r="115" spans="1:39" ht="30">
      <c r="A115" s="20" t="s">
        <v>15</v>
      </c>
      <c r="B115" s="13"/>
      <c r="C115" s="13"/>
      <c r="D115" s="13"/>
      <c r="E115" s="13"/>
      <c r="F115" s="13"/>
      <c r="G115" s="13"/>
      <c r="H115" s="13"/>
      <c r="I115" s="13">
        <f t="shared" si="65"/>
        <v>0</v>
      </c>
      <c r="J115" s="22">
        <f t="shared" si="68"/>
        <v>0</v>
      </c>
      <c r="K115" s="23">
        <v>1</v>
      </c>
      <c r="L115" s="21"/>
      <c r="M115" s="115"/>
      <c r="O115" s="33" t="s">
        <v>17</v>
      </c>
      <c r="P115" s="21">
        <f>SUM(P110:P114)</f>
        <v>0</v>
      </c>
      <c r="Q115" s="21">
        <f>SUM(Q110:Q114)</f>
        <v>12</v>
      </c>
      <c r="R115" s="21">
        <f>SUM(R110:R114)</f>
        <v>18</v>
      </c>
      <c r="S115" s="21">
        <f>SUM(S110:S114)</f>
        <v>0</v>
      </c>
      <c r="T115" s="21">
        <f>SUM(T110:T114)</f>
        <v>2</v>
      </c>
      <c r="U115" s="21">
        <f t="shared" si="66"/>
        <v>32</v>
      </c>
      <c r="V115" s="21"/>
      <c r="W115" s="34"/>
      <c r="X115" s="21"/>
      <c r="AA115" s="32" t="s">
        <v>29</v>
      </c>
      <c r="AB115" s="16"/>
      <c r="AC115" s="13"/>
      <c r="AD115" s="13"/>
      <c r="AE115" s="13"/>
      <c r="AF115" s="13"/>
      <c r="AG115" s="13"/>
      <c r="AH115" s="13"/>
      <c r="AJ115" s="21">
        <f t="shared" si="67"/>
        <v>0</v>
      </c>
      <c r="AK115" s="25">
        <f t="shared" si="70"/>
        <v>0</v>
      </c>
      <c r="AL115" s="23">
        <v>1</v>
      </c>
    </row>
    <row r="116" spans="1:39" ht="45">
      <c r="A116" s="20" t="s">
        <v>16</v>
      </c>
      <c r="B116" s="13"/>
      <c r="C116" s="13">
        <v>4</v>
      </c>
      <c r="D116" s="13"/>
      <c r="E116" s="13">
        <v>6</v>
      </c>
      <c r="F116" s="13"/>
      <c r="G116" s="13"/>
      <c r="H116" s="13"/>
      <c r="I116" s="13">
        <f t="shared" si="65"/>
        <v>10</v>
      </c>
      <c r="J116" s="22">
        <f t="shared" si="68"/>
        <v>1</v>
      </c>
      <c r="K116" s="23">
        <f>H116/I116</f>
        <v>0</v>
      </c>
      <c r="L116" s="21"/>
      <c r="M116" s="115"/>
      <c r="O116" s="33" t="s">
        <v>31</v>
      </c>
      <c r="P116" s="25">
        <f>1-P117</f>
        <v>0</v>
      </c>
      <c r="Q116" s="25">
        <f t="shared" ref="Q116:T116" si="71">1-Q117</f>
        <v>1</v>
      </c>
      <c r="R116" s="25">
        <f t="shared" si="71"/>
        <v>0.83333333333333337</v>
      </c>
      <c r="S116" s="25">
        <f t="shared" si="71"/>
        <v>0</v>
      </c>
      <c r="T116" s="25">
        <f t="shared" si="71"/>
        <v>1</v>
      </c>
      <c r="U116" s="13"/>
      <c r="V116" s="35" t="s">
        <v>32</v>
      </c>
      <c r="W116" s="36">
        <f>W121</f>
        <v>-3.5714285714285712E-2</v>
      </c>
      <c r="X116" s="21"/>
      <c r="AA116" s="32" t="s">
        <v>30</v>
      </c>
      <c r="AB116" s="16"/>
      <c r="AC116" s="13"/>
      <c r="AD116" s="13"/>
      <c r="AE116" s="13"/>
      <c r="AF116" s="13">
        <v>2</v>
      </c>
      <c r="AG116" s="13"/>
      <c r="AH116" s="13">
        <v>19</v>
      </c>
      <c r="AJ116" s="21">
        <f t="shared" si="67"/>
        <v>21</v>
      </c>
      <c r="AK116" s="25">
        <f t="shared" si="70"/>
        <v>9.5238095238095233E-2</v>
      </c>
      <c r="AL116" s="23">
        <f>AH116/AJ116</f>
        <v>0.90476190476190477</v>
      </c>
    </row>
    <row r="117" spans="1:39" ht="29" thickBot="1">
      <c r="A117" s="33" t="s">
        <v>17</v>
      </c>
      <c r="B117" s="21">
        <f t="shared" ref="B117:H117" si="72">SUM(B110:B116)</f>
        <v>0</v>
      </c>
      <c r="C117" s="21">
        <f t="shared" si="72"/>
        <v>14</v>
      </c>
      <c r="D117" s="21">
        <f t="shared" si="72"/>
        <v>0</v>
      </c>
      <c r="E117" s="21">
        <f t="shared" si="72"/>
        <v>18</v>
      </c>
      <c r="F117" s="21">
        <f t="shared" si="72"/>
        <v>0</v>
      </c>
      <c r="G117" s="21">
        <f t="shared" si="72"/>
        <v>0</v>
      </c>
      <c r="H117" s="21">
        <f t="shared" si="72"/>
        <v>0</v>
      </c>
      <c r="I117" s="21">
        <f t="shared" si="65"/>
        <v>32</v>
      </c>
      <c r="J117" s="37"/>
      <c r="K117" s="34"/>
      <c r="L117" s="21"/>
      <c r="M117" s="115"/>
      <c r="O117" s="38" t="s">
        <v>33</v>
      </c>
      <c r="P117" s="39">
        <v>1</v>
      </c>
      <c r="Q117" s="40">
        <f>Q111/Q115</f>
        <v>0</v>
      </c>
      <c r="R117" s="40">
        <f>R112/R115</f>
        <v>0.16666666666666666</v>
      </c>
      <c r="S117" s="40">
        <v>1</v>
      </c>
      <c r="T117" s="39">
        <f>T114/T115</f>
        <v>0</v>
      </c>
      <c r="U117" s="41"/>
      <c r="V117" s="42" t="s">
        <v>34</v>
      </c>
      <c r="W117" s="43">
        <f>X118</f>
        <v>9.375E-2</v>
      </c>
      <c r="X117" s="44"/>
      <c r="AA117" s="60" t="s">
        <v>16</v>
      </c>
      <c r="AI117" s="24">
        <v>2</v>
      </c>
      <c r="AJ117" s="21">
        <f>SUM(AB117:AI117)</f>
        <v>2</v>
      </c>
      <c r="AK117" s="25">
        <f t="shared" si="70"/>
        <v>0</v>
      </c>
      <c r="AL117" s="23">
        <f>AI117/AJ117</f>
        <v>1</v>
      </c>
    </row>
    <row r="118" spans="1:39" ht="28">
      <c r="A118" s="33" t="s">
        <v>31</v>
      </c>
      <c r="B118" s="25">
        <f>1-B119</f>
        <v>0</v>
      </c>
      <c r="C118" s="25">
        <f t="shared" ref="C118:H118" si="73">1-C119</f>
        <v>0.9285714285714286</v>
      </c>
      <c r="D118" s="25">
        <f t="shared" si="73"/>
        <v>0</v>
      </c>
      <c r="E118" s="25">
        <f t="shared" si="73"/>
        <v>0.83333333333333337</v>
      </c>
      <c r="F118" s="25">
        <f t="shared" si="73"/>
        <v>0</v>
      </c>
      <c r="G118" s="25">
        <f t="shared" si="73"/>
        <v>0</v>
      </c>
      <c r="H118" s="25">
        <f t="shared" si="73"/>
        <v>0</v>
      </c>
      <c r="I118" s="49"/>
      <c r="J118" s="46" t="s">
        <v>32</v>
      </c>
      <c r="K118" s="36">
        <f>K123</f>
        <v>2.6086956521739129E-2</v>
      </c>
      <c r="L118" s="21"/>
      <c r="M118" s="115"/>
      <c r="O118" s="129" t="s">
        <v>136</v>
      </c>
      <c r="V118" s="4"/>
      <c r="X118" s="50">
        <f>SUM(P110,Q111,R112,S113,T114)/U115</f>
        <v>9.375E-2</v>
      </c>
      <c r="AA118" s="33" t="s">
        <v>17</v>
      </c>
      <c r="AB118" s="21">
        <f t="shared" ref="AB118:AH118" si="74">SUM(AB110:AB117)</f>
        <v>0</v>
      </c>
      <c r="AC118" s="21">
        <f t="shared" si="74"/>
        <v>0</v>
      </c>
      <c r="AD118" s="21">
        <f t="shared" si="74"/>
        <v>2</v>
      </c>
      <c r="AE118" s="21">
        <f t="shared" si="74"/>
        <v>4</v>
      </c>
      <c r="AF118" s="21">
        <f t="shared" si="74"/>
        <v>2</v>
      </c>
      <c r="AG118" s="21">
        <f t="shared" si="74"/>
        <v>0</v>
      </c>
      <c r="AH118" s="21">
        <f t="shared" si="74"/>
        <v>22</v>
      </c>
      <c r="AI118" s="21">
        <f>SUM(AI110:AI117)</f>
        <v>2</v>
      </c>
      <c r="AJ118" s="21">
        <f>SUM(AB118:AI118)</f>
        <v>32</v>
      </c>
      <c r="AL118" s="51"/>
    </row>
    <row r="119" spans="1:39" ht="29" thickBot="1">
      <c r="A119" s="38" t="s">
        <v>33</v>
      </c>
      <c r="B119" s="39">
        <v>1</v>
      </c>
      <c r="C119" s="40">
        <f>C111/C117</f>
        <v>7.1428571428571425E-2</v>
      </c>
      <c r="D119" s="40">
        <v>1</v>
      </c>
      <c r="E119" s="40">
        <f>E113/E117</f>
        <v>0.16666666666666666</v>
      </c>
      <c r="F119" s="40">
        <v>1</v>
      </c>
      <c r="G119" s="40">
        <v>1</v>
      </c>
      <c r="H119" s="39">
        <v>1</v>
      </c>
      <c r="I119" s="41"/>
      <c r="J119" s="52" t="s">
        <v>34</v>
      </c>
      <c r="K119" s="43">
        <f>L120</f>
        <v>0.125</v>
      </c>
      <c r="L119" s="44"/>
      <c r="M119" s="116"/>
      <c r="O119" s="141" t="s">
        <v>135</v>
      </c>
      <c r="P119" s="122">
        <f>P115*U110</f>
        <v>0</v>
      </c>
      <c r="Q119" s="122">
        <f>Q115*U111</f>
        <v>0</v>
      </c>
      <c r="R119" s="122">
        <f>R115*U112</f>
        <v>108</v>
      </c>
      <c r="S119" s="122">
        <f>S115*U113</f>
        <v>0</v>
      </c>
      <c r="T119" s="122">
        <f>T115*U114</f>
        <v>20</v>
      </c>
      <c r="U119" s="123">
        <f>SUM(N119:T119)</f>
        <v>128</v>
      </c>
      <c r="V119" s="128"/>
      <c r="W119" s="123"/>
      <c r="X119" s="44"/>
      <c r="AA119" s="33" t="s">
        <v>35</v>
      </c>
      <c r="AB119" s="53">
        <f>1-AB120</f>
        <v>0</v>
      </c>
      <c r="AC119" s="54">
        <f>1-AC120</f>
        <v>0</v>
      </c>
      <c r="AD119" s="54">
        <f t="shared" ref="AD119:AI119" si="75">1-AD120</f>
        <v>0</v>
      </c>
      <c r="AE119" s="54">
        <f t="shared" si="75"/>
        <v>0.25</v>
      </c>
      <c r="AF119" s="54">
        <f t="shared" si="75"/>
        <v>1</v>
      </c>
      <c r="AG119" s="54">
        <f t="shared" si="75"/>
        <v>0</v>
      </c>
      <c r="AH119" s="54">
        <f t="shared" si="75"/>
        <v>0.13636363636363635</v>
      </c>
      <c r="AI119" s="54">
        <f t="shared" si="75"/>
        <v>0</v>
      </c>
      <c r="AK119" s="35" t="s">
        <v>32</v>
      </c>
      <c r="AL119" s="36">
        <f>AL124</f>
        <v>0.63773584905660374</v>
      </c>
    </row>
    <row r="120" spans="1:39" ht="33" thickBot="1">
      <c r="A120" s="129" t="s">
        <v>136</v>
      </c>
      <c r="L120" s="50">
        <f>SUM(B110,C111,D112,E113,F114,G115,H116)/I117</f>
        <v>0.125</v>
      </c>
      <c r="M120" s="113"/>
      <c r="O120" s="142" t="s">
        <v>134</v>
      </c>
      <c r="P120" s="124">
        <f>(P115*$U110)+(P115*$U111)+(P115*$U112)+(P115*$U113)+(P115*$U114)</f>
        <v>0</v>
      </c>
      <c r="Q120" s="124">
        <f t="shared" ref="Q120:T120" si="76">(Q115*$U110)+(Q115*$U111)+(Q115*$U112)+(Q115*$U113)+(Q115*$U114)</f>
        <v>384</v>
      </c>
      <c r="R120" s="124">
        <f t="shared" si="76"/>
        <v>576</v>
      </c>
      <c r="S120" s="124">
        <f t="shared" si="76"/>
        <v>0</v>
      </c>
      <c r="T120" s="124">
        <f t="shared" si="76"/>
        <v>64</v>
      </c>
      <c r="U120" s="125">
        <f>SUM(N120:T120)</f>
        <v>1024</v>
      </c>
      <c r="V120" s="127"/>
      <c r="W120" s="125" t="s">
        <v>32</v>
      </c>
      <c r="X120" s="44"/>
      <c r="AA120" s="38" t="s">
        <v>33</v>
      </c>
      <c r="AB120" s="56">
        <v>1</v>
      </c>
      <c r="AC120" s="57">
        <v>1</v>
      </c>
      <c r="AD120" s="57">
        <f>AD112/AD118</f>
        <v>1</v>
      </c>
      <c r="AE120" s="57">
        <f>AE113/AE118</f>
        <v>0.75</v>
      </c>
      <c r="AF120" s="57">
        <f>AF114/AF118</f>
        <v>0</v>
      </c>
      <c r="AG120" s="57">
        <v>1</v>
      </c>
      <c r="AH120" s="63">
        <f>AH116/AH118</f>
        <v>0.86363636363636365</v>
      </c>
      <c r="AI120" s="63">
        <f>AI117/AI118</f>
        <v>1</v>
      </c>
      <c r="AJ120" s="41"/>
      <c r="AK120" s="42" t="s">
        <v>34</v>
      </c>
      <c r="AL120" s="43">
        <f>AM121</f>
        <v>0.8125</v>
      </c>
    </row>
    <row r="121" spans="1:39" ht="22" thickTop="1">
      <c r="A121" s="130" t="s">
        <v>135</v>
      </c>
      <c r="B121" s="122">
        <f>B117*I110</f>
        <v>0</v>
      </c>
      <c r="C121" s="122">
        <f>C117*I111</f>
        <v>14</v>
      </c>
      <c r="D121" s="122">
        <f>D117*I112</f>
        <v>0</v>
      </c>
      <c r="E121" s="122">
        <f>E117*I113</f>
        <v>90</v>
      </c>
      <c r="F121" s="122">
        <f>F117*I114</f>
        <v>0</v>
      </c>
      <c r="G121" s="122">
        <f>G117*I115</f>
        <v>0</v>
      </c>
      <c r="H121" s="122">
        <f>H117*I116</f>
        <v>0</v>
      </c>
      <c r="I121" s="123">
        <f>SUM(B121:H121)</f>
        <v>104</v>
      </c>
      <c r="J121" s="128"/>
      <c r="K121" s="123"/>
      <c r="L121" s="44"/>
      <c r="M121" s="116"/>
      <c r="O121" s="13"/>
      <c r="P121" s="115"/>
      <c r="Q121" s="115"/>
      <c r="R121" s="115"/>
      <c r="S121" s="115"/>
      <c r="T121" s="115"/>
      <c r="U121" t="s">
        <v>110</v>
      </c>
      <c r="V121" s="102">
        <f>X118</f>
        <v>9.375E-2</v>
      </c>
      <c r="W121" s="104">
        <f>(V121-V122)/(1-V122)</f>
        <v>-3.5714285714285712E-2</v>
      </c>
      <c r="X121" s="44"/>
      <c r="AA121" s="129" t="s">
        <v>136</v>
      </c>
      <c r="AK121" s="4"/>
      <c r="AM121" s="50">
        <f>SUM(AB110,AC111,AD112,AE113,AF114,AG115,AH116,AI117)/AJ118</f>
        <v>0.8125</v>
      </c>
    </row>
    <row r="122" spans="1:39" ht="29" thickBot="1">
      <c r="A122" s="131" t="s">
        <v>134</v>
      </c>
      <c r="B122" s="124">
        <f>(B117*$I110)+(B117*$I111)+(B117*$I112)+(B117*$I113)+(B117*$I114)+(B117*$I115)+(B117*$I116)</f>
        <v>0</v>
      </c>
      <c r="C122" s="124">
        <f>(C117*$I110)+(C117*$I111)+(C117*$I112)+(C117*$I113)+(C117*$I114)+(C117*$I115)+(C117*$I116)</f>
        <v>448</v>
      </c>
      <c r="D122" s="124">
        <f>(D117*$I110)+(D117*$I111)+(D117*$I112)+(D117*$I113)+(D117*$I114)+(D117*$I115)+(D117*$I116)</f>
        <v>0</v>
      </c>
      <c r="E122" s="124">
        <f>(E117*$I110)+(E117*$I111)+(E117*$I112)+(E117*$I113)+(E117*$I114)+(E117*$I115)+(E117*$I116)</f>
        <v>576</v>
      </c>
      <c r="F122" s="124">
        <f>(F117*$I110)+(F117*$I111)+(F117*$I112)+(F117*$I113)+(F117*$I114)+(F117*$I115)+(F117*$I116)</f>
        <v>0</v>
      </c>
      <c r="G122" s="124">
        <f>(G117*$I110)+(G117*$I111)+(G117*$I112)+(G117*$I113)+(G117*$I114)+(G117*$I115)+(G117*$I116)</f>
        <v>0</v>
      </c>
      <c r="H122" s="124">
        <f>(H117*$I110)+(H117*$I111)+(H117*$I112)+(H117*$I113)+(H117*$I114)+(H117*$I115)+(H117*$I116)</f>
        <v>0</v>
      </c>
      <c r="I122" s="125">
        <f>SUM(B122:H122)</f>
        <v>1024</v>
      </c>
      <c r="J122" s="127"/>
      <c r="K122" s="125" t="s">
        <v>32</v>
      </c>
      <c r="L122" s="44"/>
      <c r="M122" s="116"/>
      <c r="O122" s="187"/>
      <c r="P122" s="115"/>
      <c r="Q122" s="115"/>
      <c r="R122" s="115"/>
      <c r="S122" s="115"/>
      <c r="T122" s="115"/>
      <c r="U122" t="s">
        <v>111</v>
      </c>
      <c r="V122" s="103">
        <f>U119/U120</f>
        <v>0.125</v>
      </c>
      <c r="W122" s="101"/>
      <c r="AA122" s="141" t="s">
        <v>135</v>
      </c>
      <c r="AB122" s="122">
        <f>AB118*AJ110</f>
        <v>0</v>
      </c>
      <c r="AC122" s="122">
        <f>AC118*AJ111</f>
        <v>0</v>
      </c>
      <c r="AD122" s="122">
        <f>AD118*AJ112</f>
        <v>8</v>
      </c>
      <c r="AE122" s="122">
        <f>AE118*AJ113</f>
        <v>20</v>
      </c>
      <c r="AF122" s="122">
        <f>AF118*AJ114</f>
        <v>0</v>
      </c>
      <c r="AG122" s="122">
        <f>AG118*AJ115</f>
        <v>0</v>
      </c>
      <c r="AH122" s="122">
        <f>AH118*AJ116</f>
        <v>462</v>
      </c>
      <c r="AI122" s="122">
        <f>AI118*AJ117</f>
        <v>4</v>
      </c>
      <c r="AJ122" s="123">
        <f>SUM(AB122:AI122)</f>
        <v>494</v>
      </c>
      <c r="AK122" s="128"/>
      <c r="AL122" s="123"/>
      <c r="AM122" s="44"/>
    </row>
    <row r="123" spans="1:39" ht="30" thickTop="1" thickBot="1">
      <c r="A123" s="13"/>
      <c r="B123" s="115"/>
      <c r="C123" s="115"/>
      <c r="D123" s="115"/>
      <c r="E123" s="115"/>
      <c r="F123" s="115"/>
      <c r="G123" s="115"/>
      <c r="H123" s="115"/>
      <c r="I123" t="s">
        <v>110</v>
      </c>
      <c r="J123" s="102">
        <f>L120</f>
        <v>0.125</v>
      </c>
      <c r="K123" s="104">
        <f>(J123-J124)/(1-J124)</f>
        <v>2.6086956521739129E-2</v>
      </c>
      <c r="L123" s="44"/>
      <c r="M123" s="116"/>
      <c r="O123" s="13"/>
      <c r="P123" s="100"/>
      <c r="Q123" s="100"/>
      <c r="R123" s="100"/>
      <c r="S123" s="100"/>
      <c r="T123" s="100"/>
      <c r="U123" s="111"/>
      <c r="V123" s="132"/>
      <c r="W123" s="133"/>
      <c r="X123" s="49"/>
      <c r="AA123" s="142" t="s">
        <v>134</v>
      </c>
      <c r="AB123" s="124">
        <f>(AB118*$AJ110)+(AB118*$AJ111)+(AB118*$AJ112)+(AB118*$AJ113)+(AB118*$AJ114)+(AB118*$AJ115)+(AB118*$AJ116)+(AB118*$AJ117)</f>
        <v>0</v>
      </c>
      <c r="AC123" s="124">
        <f t="shared" ref="AC123:AH123" si="77">(AC118*$AJ110)+(AC118*$AJ111)+(AC118*$AJ112)+(AC118*$AJ113)+(AC118*$AJ114)+(AC118*$AJ115)+(AC118*$AJ116)+(AC118*$AJ117)</f>
        <v>0</v>
      </c>
      <c r="AD123" s="124">
        <f t="shared" si="77"/>
        <v>64</v>
      </c>
      <c r="AE123" s="124">
        <f t="shared" si="77"/>
        <v>128</v>
      </c>
      <c r="AF123" s="124">
        <f t="shared" si="77"/>
        <v>64</v>
      </c>
      <c r="AG123" s="124">
        <f t="shared" si="77"/>
        <v>0</v>
      </c>
      <c r="AH123" s="124">
        <f t="shared" si="77"/>
        <v>704</v>
      </c>
      <c r="AI123" s="124">
        <f>(AI118*$AJ110)+(AI118*$AJ111)+(AI118*$AJ112)+(AI118*$AJ113)+(AI118*$AJ114)+(AI118*$AJ115)+(AI118*$AJ116)+(AI118*$AJ117)</f>
        <v>64</v>
      </c>
      <c r="AJ123" s="125">
        <f>SUM(AB123:AI123)</f>
        <v>1024</v>
      </c>
      <c r="AK123" s="127"/>
      <c r="AL123" s="125" t="s">
        <v>32</v>
      </c>
      <c r="AM123" s="44"/>
    </row>
    <row r="124" spans="1:39" ht="22" thickTop="1">
      <c r="A124" s="187"/>
      <c r="B124" s="115"/>
      <c r="C124" s="115"/>
      <c r="D124" s="115"/>
      <c r="E124" s="115"/>
      <c r="F124" s="115"/>
      <c r="G124" s="115"/>
      <c r="H124" s="115"/>
      <c r="I124" t="s">
        <v>111</v>
      </c>
      <c r="J124" s="103">
        <f>I121/I122</f>
        <v>0.1015625</v>
      </c>
      <c r="K124" s="101"/>
      <c r="O124" s="24"/>
      <c r="P124" s="100"/>
      <c r="Q124" s="100"/>
      <c r="R124" s="100"/>
      <c r="S124" s="100"/>
      <c r="T124" s="100"/>
      <c r="U124" s="111"/>
      <c r="V124" s="132"/>
      <c r="W124" s="101"/>
      <c r="X124" s="24"/>
      <c r="AA124" s="187"/>
      <c r="AB124" s="13"/>
      <c r="AC124" s="115"/>
      <c r="AD124" s="115"/>
      <c r="AE124" s="115"/>
      <c r="AF124" s="115"/>
      <c r="AG124" s="115"/>
      <c r="AJ124" t="s">
        <v>110</v>
      </c>
      <c r="AK124" s="102">
        <f>AM121</f>
        <v>0.8125</v>
      </c>
      <c r="AL124" s="104">
        <f>(AK124-AK125)/(1-AK125)</f>
        <v>0.63773584905660374</v>
      </c>
      <c r="AM124" s="44"/>
    </row>
    <row r="125" spans="1:39" ht="21">
      <c r="A125" s="24"/>
      <c r="B125" s="126"/>
      <c r="C125" s="126"/>
      <c r="D125" s="126"/>
      <c r="E125" s="126"/>
      <c r="F125" s="126"/>
      <c r="G125" s="126"/>
      <c r="H125" s="126"/>
      <c r="I125" s="134"/>
      <c r="J125" s="135"/>
      <c r="K125" s="136"/>
      <c r="O125" s="24"/>
      <c r="P125" s="24"/>
      <c r="Q125" s="24"/>
      <c r="R125" s="24"/>
      <c r="S125" s="24"/>
      <c r="T125" s="24"/>
      <c r="U125" s="24"/>
      <c r="V125" s="24"/>
      <c r="W125" s="24"/>
      <c r="X125" s="24"/>
      <c r="AA125" s="59"/>
      <c r="AB125" s="187"/>
      <c r="AC125" s="115"/>
      <c r="AD125" s="115"/>
      <c r="AE125" s="115"/>
      <c r="AF125" s="115"/>
      <c r="AG125" s="115"/>
      <c r="AJ125" t="s">
        <v>111</v>
      </c>
      <c r="AK125" s="103">
        <f>AJ122/AJ123</f>
        <v>0.482421875</v>
      </c>
      <c r="AL125" s="101"/>
    </row>
    <row r="126" spans="1:39" ht="21">
      <c r="A126" s="24"/>
      <c r="B126" s="126"/>
      <c r="C126" s="126"/>
      <c r="D126" s="126"/>
      <c r="E126" s="126"/>
      <c r="F126" s="126"/>
      <c r="G126" s="126"/>
      <c r="H126" s="126"/>
      <c r="I126" s="137"/>
      <c r="J126" s="134"/>
      <c r="K126" s="135"/>
      <c r="O126" s="24"/>
      <c r="P126" s="24"/>
      <c r="Q126" s="24"/>
      <c r="R126" s="24"/>
      <c r="S126" s="24"/>
      <c r="T126" s="24"/>
      <c r="U126" s="24"/>
      <c r="V126" s="24"/>
      <c r="W126" s="24"/>
      <c r="X126" s="24"/>
      <c r="AA126" s="24"/>
      <c r="AB126" s="126"/>
      <c r="AC126" s="126"/>
      <c r="AD126" s="126"/>
      <c r="AE126" s="126"/>
      <c r="AF126" s="126"/>
      <c r="AG126" s="126"/>
      <c r="AH126" s="126"/>
      <c r="AI126" s="126"/>
      <c r="AJ126" s="137"/>
      <c r="AK126" s="137"/>
      <c r="AL126" s="137"/>
    </row>
    <row r="127" spans="1:39" ht="21">
      <c r="A127" s="24"/>
      <c r="B127" s="126"/>
      <c r="C127" s="126"/>
      <c r="D127" s="126"/>
      <c r="E127" s="126"/>
      <c r="F127" s="126"/>
      <c r="G127" s="126"/>
      <c r="H127" s="126"/>
      <c r="I127" s="137"/>
      <c r="J127" s="138"/>
      <c r="K127" s="139"/>
      <c r="O127" s="24"/>
      <c r="P127" s="24"/>
      <c r="Q127" s="24"/>
      <c r="R127" s="24"/>
      <c r="S127" s="24"/>
      <c r="T127" s="24"/>
      <c r="U127" s="24"/>
      <c r="V127" s="24"/>
      <c r="W127" s="24"/>
      <c r="X127" s="24"/>
      <c r="AA127" s="24"/>
      <c r="AB127" s="126"/>
      <c r="AC127" s="126"/>
      <c r="AD127" s="126"/>
      <c r="AE127" s="126"/>
      <c r="AF127" s="126"/>
      <c r="AG127" s="126"/>
      <c r="AH127" s="126"/>
      <c r="AI127" s="126"/>
      <c r="AJ127" s="137"/>
      <c r="AK127" s="137"/>
      <c r="AL127" s="137"/>
    </row>
    <row r="128" spans="1:39" ht="17" thickBot="1">
      <c r="A128" s="188" t="s">
        <v>8</v>
      </c>
      <c r="B128" s="188"/>
      <c r="C128" s="188"/>
      <c r="D128" s="188"/>
      <c r="E128" s="188"/>
      <c r="F128" s="188"/>
      <c r="G128" s="188"/>
      <c r="H128" s="188"/>
      <c r="I128" s="188"/>
      <c r="J128" s="188"/>
      <c r="K128" s="188"/>
      <c r="L128" s="6"/>
      <c r="M128" s="112"/>
      <c r="O128" s="188" t="s">
        <v>8</v>
      </c>
      <c r="P128" s="188"/>
      <c r="Q128" s="188"/>
      <c r="R128" s="188"/>
      <c r="S128" s="188"/>
      <c r="T128" s="188"/>
      <c r="U128" s="188"/>
      <c r="V128" s="188"/>
      <c r="W128" s="188"/>
      <c r="X128" s="190"/>
      <c r="AA128" s="188" t="s">
        <v>8</v>
      </c>
      <c r="AB128" s="188"/>
      <c r="AC128" s="188"/>
      <c r="AD128" s="188"/>
      <c r="AE128" s="188"/>
      <c r="AF128" s="188"/>
      <c r="AG128" s="188"/>
      <c r="AH128" s="188"/>
      <c r="AI128" s="188"/>
      <c r="AJ128" s="188"/>
      <c r="AK128" s="188"/>
      <c r="AL128" s="6"/>
    </row>
    <row r="129" spans="1:39" ht="91" thickBot="1">
      <c r="A129" s="8" t="s">
        <v>52</v>
      </c>
      <c r="B129" s="9" t="s">
        <v>10</v>
      </c>
      <c r="C129" s="9" t="s">
        <v>11</v>
      </c>
      <c r="D129" s="9" t="s">
        <v>12</v>
      </c>
      <c r="E129" s="9" t="s">
        <v>13</v>
      </c>
      <c r="F129" s="9" t="s">
        <v>14</v>
      </c>
      <c r="G129" s="9" t="s">
        <v>15</v>
      </c>
      <c r="H129" s="9" t="s">
        <v>16</v>
      </c>
      <c r="I129" s="10" t="s">
        <v>17</v>
      </c>
      <c r="J129" s="11" t="s">
        <v>18</v>
      </c>
      <c r="K129" s="12" t="s">
        <v>19</v>
      </c>
      <c r="L129" s="13"/>
      <c r="M129" s="114"/>
      <c r="O129" s="8" t="s">
        <v>53</v>
      </c>
      <c r="P129" s="9" t="s">
        <v>10</v>
      </c>
      <c r="Q129" s="9" t="s">
        <v>11</v>
      </c>
      <c r="R129" s="9" t="s">
        <v>21</v>
      </c>
      <c r="S129" s="9" t="s">
        <v>22</v>
      </c>
      <c r="T129" s="9" t="s">
        <v>16</v>
      </c>
      <c r="U129" s="10" t="s">
        <v>17</v>
      </c>
      <c r="V129" s="15" t="s">
        <v>18</v>
      </c>
      <c r="W129" s="12" t="s">
        <v>19</v>
      </c>
      <c r="X129" s="16"/>
      <c r="AA129" s="8" t="s">
        <v>54</v>
      </c>
      <c r="AB129" s="17" t="s">
        <v>24</v>
      </c>
      <c r="AC129" s="17" t="s">
        <v>25</v>
      </c>
      <c r="AD129" s="17" t="s">
        <v>26</v>
      </c>
      <c r="AE129" s="17" t="s">
        <v>27</v>
      </c>
      <c r="AF129" s="17" t="s">
        <v>28</v>
      </c>
      <c r="AG129" s="17" t="s">
        <v>29</v>
      </c>
      <c r="AH129" s="17" t="s">
        <v>30</v>
      </c>
      <c r="AI129" s="17" t="s">
        <v>16</v>
      </c>
      <c r="AJ129" s="18" t="s">
        <v>17</v>
      </c>
      <c r="AK129" s="18" t="s">
        <v>18</v>
      </c>
      <c r="AL129" s="19" t="s">
        <v>19</v>
      </c>
    </row>
    <row r="130" spans="1:39" ht="56">
      <c r="A130" s="20" t="s">
        <v>10</v>
      </c>
      <c r="B130" s="13"/>
      <c r="C130" s="13">
        <v>10</v>
      </c>
      <c r="D130" s="13"/>
      <c r="E130" s="13">
        <v>10</v>
      </c>
      <c r="F130" s="13"/>
      <c r="G130" s="13"/>
      <c r="H130" s="13"/>
      <c r="I130" s="21">
        <f t="shared" ref="I130:I137" si="78">SUM(B130:H130)</f>
        <v>20</v>
      </c>
      <c r="J130" s="22">
        <f>1-K130</f>
        <v>1</v>
      </c>
      <c r="K130" s="23">
        <f>0/8</f>
        <v>0</v>
      </c>
      <c r="L130" s="21"/>
      <c r="M130" s="115"/>
      <c r="O130" s="20" t="s">
        <v>10</v>
      </c>
      <c r="P130" s="13"/>
      <c r="Q130" s="13">
        <v>9</v>
      </c>
      <c r="R130" s="13">
        <v>10</v>
      </c>
      <c r="S130" s="13"/>
      <c r="T130" s="13">
        <v>1</v>
      </c>
      <c r="U130" s="21">
        <f t="shared" ref="U130:U135" si="79">SUM(P130:T130)</f>
        <v>20</v>
      </c>
      <c r="V130" s="25">
        <f>1-W130</f>
        <v>1</v>
      </c>
      <c r="W130" s="23">
        <f>P130/U130</f>
        <v>0</v>
      </c>
      <c r="X130" s="21"/>
      <c r="AA130" s="26" t="s">
        <v>24</v>
      </c>
      <c r="AB130" s="27"/>
      <c r="AC130" s="28"/>
      <c r="AD130" s="28"/>
      <c r="AE130" s="28"/>
      <c r="AF130" s="28"/>
      <c r="AG130" s="28"/>
      <c r="AH130" s="28"/>
      <c r="AJ130" s="29">
        <f t="shared" ref="AJ130:AJ136" si="80">SUM(AB130:AH130)</f>
        <v>0</v>
      </c>
      <c r="AK130" s="30">
        <f>1-AL130</f>
        <v>0</v>
      </c>
      <c r="AL130" s="31">
        <v>1</v>
      </c>
    </row>
    <row r="131" spans="1:39" ht="45">
      <c r="A131" s="20" t="s">
        <v>11</v>
      </c>
      <c r="B131" s="13"/>
      <c r="C131" s="13">
        <v>1</v>
      </c>
      <c r="D131" s="13"/>
      <c r="E131" s="13"/>
      <c r="F131" s="13"/>
      <c r="G131" s="13"/>
      <c r="H131" s="13"/>
      <c r="I131" s="21">
        <f t="shared" si="78"/>
        <v>1</v>
      </c>
      <c r="J131" s="22">
        <f t="shared" ref="J131:J136" si="81">1-K131</f>
        <v>0</v>
      </c>
      <c r="K131" s="23">
        <f>C131/I131</f>
        <v>1</v>
      </c>
      <c r="L131" s="21"/>
      <c r="M131" s="115"/>
      <c r="O131" s="20" t="s">
        <v>11</v>
      </c>
      <c r="P131" s="13"/>
      <c r="Q131" s="13"/>
      <c r="R131" s="13"/>
      <c r="S131" s="13"/>
      <c r="T131" s="13"/>
      <c r="U131" s="21">
        <f t="shared" si="79"/>
        <v>0</v>
      </c>
      <c r="V131" s="25">
        <f t="shared" ref="V131:V134" si="82">1-W131</f>
        <v>0</v>
      </c>
      <c r="W131" s="23">
        <v>1</v>
      </c>
      <c r="X131" s="21"/>
      <c r="AA131" s="32" t="s">
        <v>25</v>
      </c>
      <c r="AB131" s="16"/>
      <c r="AC131" s="13"/>
      <c r="AD131" s="13"/>
      <c r="AE131" s="13"/>
      <c r="AF131" s="13"/>
      <c r="AG131" s="13"/>
      <c r="AH131" s="13"/>
      <c r="AJ131" s="21">
        <f t="shared" si="80"/>
        <v>0</v>
      </c>
      <c r="AK131" s="25">
        <f>1-AL131</f>
        <v>0</v>
      </c>
      <c r="AL131" s="23">
        <v>1</v>
      </c>
    </row>
    <row r="132" spans="1:39" ht="45">
      <c r="A132" s="20" t="s">
        <v>12</v>
      </c>
      <c r="B132" s="13"/>
      <c r="C132" s="13"/>
      <c r="D132" s="13"/>
      <c r="E132" s="13"/>
      <c r="F132" s="13"/>
      <c r="G132" s="13"/>
      <c r="H132" s="13"/>
      <c r="I132" s="21">
        <f t="shared" si="78"/>
        <v>0</v>
      </c>
      <c r="J132" s="22">
        <f t="shared" si="81"/>
        <v>0</v>
      </c>
      <c r="K132" s="23">
        <v>1</v>
      </c>
      <c r="L132" s="21"/>
      <c r="M132" s="115"/>
      <c r="O132" s="20" t="s">
        <v>21</v>
      </c>
      <c r="P132" s="13"/>
      <c r="Q132" s="13">
        <v>1</v>
      </c>
      <c r="R132" s="13">
        <v>4</v>
      </c>
      <c r="S132" s="13"/>
      <c r="T132" s="13">
        <v>1</v>
      </c>
      <c r="U132" s="21">
        <f t="shared" si="79"/>
        <v>6</v>
      </c>
      <c r="V132" s="25">
        <f t="shared" si="82"/>
        <v>0.33333333333333337</v>
      </c>
      <c r="W132" s="23">
        <f>R132/U132</f>
        <v>0.66666666666666663</v>
      </c>
      <c r="X132" s="21"/>
      <c r="AA132" s="32" t="s">
        <v>26</v>
      </c>
      <c r="AB132" s="16"/>
      <c r="AC132" s="13"/>
      <c r="AD132" s="13"/>
      <c r="AE132" s="13">
        <v>1</v>
      </c>
      <c r="AF132" s="13"/>
      <c r="AG132" s="13"/>
      <c r="AH132" s="13"/>
      <c r="AJ132" s="21">
        <f t="shared" si="80"/>
        <v>1</v>
      </c>
      <c r="AK132" s="25">
        <f t="shared" ref="AK132:AK137" si="83">1-AL132</f>
        <v>1</v>
      </c>
      <c r="AL132" s="23">
        <f>AD132/AJ132</f>
        <v>0</v>
      </c>
    </row>
    <row r="133" spans="1:39" ht="42">
      <c r="A133" s="20" t="s">
        <v>13</v>
      </c>
      <c r="B133" s="13"/>
      <c r="C133" s="13">
        <v>1</v>
      </c>
      <c r="D133" s="13"/>
      <c r="E133" s="13">
        <v>4</v>
      </c>
      <c r="F133" s="13"/>
      <c r="G133" s="13"/>
      <c r="H133" s="13"/>
      <c r="I133" s="21">
        <f t="shared" si="78"/>
        <v>5</v>
      </c>
      <c r="J133" s="22">
        <f t="shared" si="81"/>
        <v>0.19999999999999996</v>
      </c>
      <c r="K133" s="23">
        <f>E133/I133</f>
        <v>0.8</v>
      </c>
      <c r="L133" s="21"/>
      <c r="M133" s="115"/>
      <c r="O133" s="20" t="s">
        <v>22</v>
      </c>
      <c r="P133" s="13"/>
      <c r="Q133" s="13"/>
      <c r="R133" s="13"/>
      <c r="S133" s="13"/>
      <c r="T133" s="13"/>
      <c r="U133" s="21">
        <f t="shared" si="79"/>
        <v>0</v>
      </c>
      <c r="V133" s="25">
        <f t="shared" si="82"/>
        <v>0</v>
      </c>
      <c r="W133" s="23">
        <v>1</v>
      </c>
      <c r="X133" s="21"/>
      <c r="AA133" s="32" t="s">
        <v>27</v>
      </c>
      <c r="AB133" s="16"/>
      <c r="AC133" s="13"/>
      <c r="AD133" s="13"/>
      <c r="AE133" s="13">
        <v>2</v>
      </c>
      <c r="AF133" s="13"/>
      <c r="AG133" s="13"/>
      <c r="AH133" s="13"/>
      <c r="AJ133" s="21">
        <f t="shared" si="80"/>
        <v>2</v>
      </c>
      <c r="AK133" s="25">
        <f t="shared" si="83"/>
        <v>0</v>
      </c>
      <c r="AL133" s="23">
        <f>AE133/AJ133</f>
        <v>1</v>
      </c>
    </row>
    <row r="134" spans="1:39" ht="45">
      <c r="A134" s="20" t="s">
        <v>14</v>
      </c>
      <c r="B134" s="13"/>
      <c r="C134" s="13"/>
      <c r="D134" s="13"/>
      <c r="E134" s="13"/>
      <c r="F134" s="13"/>
      <c r="G134" s="13"/>
      <c r="H134" s="13"/>
      <c r="I134" s="21">
        <f t="shared" si="78"/>
        <v>0</v>
      </c>
      <c r="J134" s="22">
        <f t="shared" si="81"/>
        <v>0</v>
      </c>
      <c r="K134" s="23">
        <v>1</v>
      </c>
      <c r="L134" s="21"/>
      <c r="M134" s="115"/>
      <c r="O134" s="20" t="s">
        <v>16</v>
      </c>
      <c r="P134" s="13"/>
      <c r="Q134" s="13">
        <v>2</v>
      </c>
      <c r="R134" s="13">
        <v>4</v>
      </c>
      <c r="S134" s="13"/>
      <c r="T134" s="13"/>
      <c r="U134" s="21">
        <f t="shared" si="79"/>
        <v>6</v>
      </c>
      <c r="V134" s="25">
        <f t="shared" si="82"/>
        <v>1</v>
      </c>
      <c r="W134" s="23">
        <f>T134/U134</f>
        <v>0</v>
      </c>
      <c r="X134" s="21"/>
      <c r="AA134" s="32" t="s">
        <v>28</v>
      </c>
      <c r="AB134" s="16"/>
      <c r="AC134" s="13"/>
      <c r="AD134" s="13"/>
      <c r="AE134" s="13"/>
      <c r="AF134" s="13"/>
      <c r="AG134" s="13"/>
      <c r="AH134" s="13"/>
      <c r="AJ134" s="21">
        <f t="shared" si="80"/>
        <v>0</v>
      </c>
      <c r="AK134" s="25">
        <f t="shared" si="83"/>
        <v>0</v>
      </c>
      <c r="AL134" s="23">
        <v>1</v>
      </c>
    </row>
    <row r="135" spans="1:39" ht="30">
      <c r="A135" s="20" t="s">
        <v>15</v>
      </c>
      <c r="B135" s="13"/>
      <c r="C135" s="13"/>
      <c r="D135" s="13"/>
      <c r="E135" s="13"/>
      <c r="F135" s="13"/>
      <c r="G135" s="13"/>
      <c r="H135" s="13"/>
      <c r="I135" s="21">
        <f t="shared" si="78"/>
        <v>0</v>
      </c>
      <c r="J135" s="22">
        <f t="shared" si="81"/>
        <v>0</v>
      </c>
      <c r="K135" s="23">
        <v>1</v>
      </c>
      <c r="L135" s="21"/>
      <c r="M135" s="115"/>
      <c r="O135" s="33" t="s">
        <v>17</v>
      </c>
      <c r="P135" s="21">
        <f>SUM(P130:P134)</f>
        <v>0</v>
      </c>
      <c r="Q135" s="21">
        <f>SUM(Q130:Q134)</f>
        <v>12</v>
      </c>
      <c r="R135" s="21">
        <f>SUM(R130:R134)</f>
        <v>18</v>
      </c>
      <c r="S135" s="21">
        <f>SUM(S130:S134)</f>
        <v>0</v>
      </c>
      <c r="T135" s="21">
        <f>SUM(T130:T134)</f>
        <v>2</v>
      </c>
      <c r="U135" s="21">
        <f t="shared" si="79"/>
        <v>32</v>
      </c>
      <c r="V135" s="21"/>
      <c r="W135" s="34"/>
      <c r="X135" s="21"/>
      <c r="AA135" s="32" t="s">
        <v>29</v>
      </c>
      <c r="AB135" s="16"/>
      <c r="AC135" s="13"/>
      <c r="AD135" s="13"/>
      <c r="AE135" s="13"/>
      <c r="AF135" s="13"/>
      <c r="AG135" s="13"/>
      <c r="AH135" s="13"/>
      <c r="AJ135" s="21">
        <f t="shared" si="80"/>
        <v>0</v>
      </c>
      <c r="AK135" s="25">
        <f t="shared" si="83"/>
        <v>0</v>
      </c>
      <c r="AL135" s="23">
        <v>1</v>
      </c>
    </row>
    <row r="136" spans="1:39" ht="45">
      <c r="A136" s="20" t="s">
        <v>16</v>
      </c>
      <c r="B136" s="13"/>
      <c r="C136" s="13">
        <v>2</v>
      </c>
      <c r="D136" s="13"/>
      <c r="E136" s="13">
        <v>4</v>
      </c>
      <c r="F136" s="13"/>
      <c r="G136" s="13"/>
      <c r="H136" s="13"/>
      <c r="I136" s="21">
        <f t="shared" si="78"/>
        <v>6</v>
      </c>
      <c r="J136" s="22">
        <f t="shared" si="81"/>
        <v>1</v>
      </c>
      <c r="K136" s="23">
        <f>H136/I136</f>
        <v>0</v>
      </c>
      <c r="L136" s="21"/>
      <c r="M136" s="115"/>
      <c r="O136" s="33" t="s">
        <v>31</v>
      </c>
      <c r="P136" s="25">
        <f>1-P137</f>
        <v>0</v>
      </c>
      <c r="Q136" s="25">
        <f t="shared" ref="Q136:T136" si="84">1-Q137</f>
        <v>1</v>
      </c>
      <c r="R136" s="25">
        <f t="shared" si="84"/>
        <v>0.77777777777777779</v>
      </c>
      <c r="S136" s="25">
        <f t="shared" si="84"/>
        <v>0</v>
      </c>
      <c r="T136" s="25">
        <f t="shared" si="84"/>
        <v>1</v>
      </c>
      <c r="U136" s="13"/>
      <c r="V136" s="35" t="s">
        <v>32</v>
      </c>
      <c r="W136" s="36">
        <f>W141</f>
        <v>8.8495575221238937E-3</v>
      </c>
      <c r="X136" s="21"/>
      <c r="AA136" s="32" t="s">
        <v>30</v>
      </c>
      <c r="AB136" s="16"/>
      <c r="AC136" s="13"/>
      <c r="AD136" s="13">
        <v>2</v>
      </c>
      <c r="AE136" s="13">
        <v>1</v>
      </c>
      <c r="AF136" s="13">
        <v>2</v>
      </c>
      <c r="AG136" s="13"/>
      <c r="AH136" s="13">
        <v>22</v>
      </c>
      <c r="AJ136" s="21">
        <f t="shared" si="80"/>
        <v>27</v>
      </c>
      <c r="AK136" s="25">
        <f t="shared" si="83"/>
        <v>0.18518518518518523</v>
      </c>
      <c r="AL136" s="23">
        <f>AH136/AJ136</f>
        <v>0.81481481481481477</v>
      </c>
    </row>
    <row r="137" spans="1:39" ht="29" thickBot="1">
      <c r="A137" s="33" t="s">
        <v>17</v>
      </c>
      <c r="B137" s="21">
        <f t="shared" ref="B137:H137" si="85">SUM(B130:B136)</f>
        <v>0</v>
      </c>
      <c r="C137" s="21">
        <f t="shared" si="85"/>
        <v>14</v>
      </c>
      <c r="D137" s="21">
        <f t="shared" si="85"/>
        <v>0</v>
      </c>
      <c r="E137" s="21">
        <f t="shared" si="85"/>
        <v>18</v>
      </c>
      <c r="F137" s="21">
        <f t="shared" si="85"/>
        <v>0</v>
      </c>
      <c r="G137" s="21">
        <f t="shared" si="85"/>
        <v>0</v>
      </c>
      <c r="H137" s="21">
        <f t="shared" si="85"/>
        <v>0</v>
      </c>
      <c r="I137" s="21">
        <f t="shared" si="78"/>
        <v>32</v>
      </c>
      <c r="J137" s="37"/>
      <c r="K137" s="34"/>
      <c r="L137" s="21"/>
      <c r="M137" s="115"/>
      <c r="O137" s="38" t="s">
        <v>33</v>
      </c>
      <c r="P137" s="39">
        <v>1</v>
      </c>
      <c r="Q137" s="40">
        <f>Q131/Q135</f>
        <v>0</v>
      </c>
      <c r="R137" s="40">
        <f>R132/R135</f>
        <v>0.22222222222222221</v>
      </c>
      <c r="S137" s="40">
        <v>1</v>
      </c>
      <c r="T137" s="39">
        <f>T134/T135</f>
        <v>0</v>
      </c>
      <c r="U137" s="41"/>
      <c r="V137" s="42" t="s">
        <v>34</v>
      </c>
      <c r="W137" s="43">
        <f>X138</f>
        <v>0.125</v>
      </c>
      <c r="X137" s="44"/>
      <c r="AA137" s="60" t="s">
        <v>16</v>
      </c>
      <c r="AI137" s="24">
        <v>2</v>
      </c>
      <c r="AJ137" s="21">
        <f>SUM(AB137:AI137)</f>
        <v>2</v>
      </c>
      <c r="AK137" s="25">
        <f t="shared" si="83"/>
        <v>0</v>
      </c>
      <c r="AL137" s="23">
        <f>AI137/AJ137</f>
        <v>1</v>
      </c>
    </row>
    <row r="138" spans="1:39" ht="28">
      <c r="A138" s="33" t="s">
        <v>31</v>
      </c>
      <c r="B138" s="25">
        <f>1-B139</f>
        <v>0</v>
      </c>
      <c r="C138" s="25">
        <f t="shared" ref="C138:H138" si="86">1-C139</f>
        <v>0.9285714285714286</v>
      </c>
      <c r="D138" s="25">
        <f t="shared" si="86"/>
        <v>0</v>
      </c>
      <c r="E138" s="25">
        <f t="shared" si="86"/>
        <v>0.77777777777777779</v>
      </c>
      <c r="F138" s="25">
        <f t="shared" si="86"/>
        <v>0</v>
      </c>
      <c r="G138" s="25">
        <f t="shared" si="86"/>
        <v>0</v>
      </c>
      <c r="H138" s="25">
        <f t="shared" si="86"/>
        <v>0</v>
      </c>
      <c r="I138" s="49"/>
      <c r="J138" s="46" t="s">
        <v>32</v>
      </c>
      <c r="K138" s="36">
        <f>K143</f>
        <v>6.0869565217391307E-2</v>
      </c>
      <c r="L138" s="21"/>
      <c r="M138" s="115"/>
      <c r="O138" s="129" t="s">
        <v>136</v>
      </c>
      <c r="V138" s="4"/>
      <c r="X138" s="50">
        <f>SUM(P130,Q131,R132,S133,T134)/U135</f>
        <v>0.125</v>
      </c>
      <c r="AA138" s="33" t="s">
        <v>17</v>
      </c>
      <c r="AB138" s="21">
        <f t="shared" ref="AB138:AH138" si="87">SUM(AB130:AB137)</f>
        <v>0</v>
      </c>
      <c r="AC138" s="21">
        <f t="shared" si="87"/>
        <v>0</v>
      </c>
      <c r="AD138" s="21">
        <f t="shared" si="87"/>
        <v>2</v>
      </c>
      <c r="AE138" s="21">
        <f t="shared" si="87"/>
        <v>4</v>
      </c>
      <c r="AF138" s="21">
        <f t="shared" si="87"/>
        <v>2</v>
      </c>
      <c r="AG138" s="21">
        <f t="shared" si="87"/>
        <v>0</v>
      </c>
      <c r="AH138" s="21">
        <f t="shared" si="87"/>
        <v>22</v>
      </c>
      <c r="AI138" s="21">
        <f>SUM(AI130:AI137)</f>
        <v>2</v>
      </c>
      <c r="AJ138" s="21">
        <f>SUM(AB138:AI138)</f>
        <v>32</v>
      </c>
      <c r="AL138" s="51"/>
    </row>
    <row r="139" spans="1:39" ht="29" thickBot="1">
      <c r="A139" s="38" t="s">
        <v>33</v>
      </c>
      <c r="B139" s="39">
        <v>1</v>
      </c>
      <c r="C139" s="40">
        <f>C131/C137</f>
        <v>7.1428571428571425E-2</v>
      </c>
      <c r="D139" s="40">
        <v>1</v>
      </c>
      <c r="E139" s="40">
        <f>E133/E137</f>
        <v>0.22222222222222221</v>
      </c>
      <c r="F139" s="40">
        <v>1</v>
      </c>
      <c r="G139" s="40">
        <v>1</v>
      </c>
      <c r="H139" s="39">
        <v>1</v>
      </c>
      <c r="I139" s="41"/>
      <c r="J139" s="52" t="s">
        <v>34</v>
      </c>
      <c r="K139" s="43">
        <f>L140</f>
        <v>0.15625</v>
      </c>
      <c r="L139" s="44"/>
      <c r="M139" s="116"/>
      <c r="O139" s="141" t="s">
        <v>135</v>
      </c>
      <c r="P139" s="122">
        <f>P135*U130</f>
        <v>0</v>
      </c>
      <c r="Q139" s="122">
        <f>Q135*U131</f>
        <v>0</v>
      </c>
      <c r="R139" s="122">
        <f>R135*U132</f>
        <v>108</v>
      </c>
      <c r="S139" s="122">
        <f>S135*U133</f>
        <v>0</v>
      </c>
      <c r="T139" s="122">
        <f>T135*U134</f>
        <v>12</v>
      </c>
      <c r="U139" s="123">
        <f>SUM(N139:T139)</f>
        <v>120</v>
      </c>
      <c r="V139" s="128"/>
      <c r="W139" s="123"/>
      <c r="X139" s="44"/>
      <c r="AA139" s="33" t="s">
        <v>35</v>
      </c>
      <c r="AB139" s="53">
        <f>1-AB140</f>
        <v>0</v>
      </c>
      <c r="AC139" s="54">
        <f>1-AC140</f>
        <v>0</v>
      </c>
      <c r="AD139" s="54">
        <f t="shared" ref="AD139:AI139" si="88">1-AD140</f>
        <v>1</v>
      </c>
      <c r="AE139" s="54">
        <f t="shared" si="88"/>
        <v>0.5</v>
      </c>
      <c r="AF139" s="54">
        <f t="shared" si="88"/>
        <v>1</v>
      </c>
      <c r="AG139" s="54">
        <f t="shared" si="88"/>
        <v>0</v>
      </c>
      <c r="AH139" s="54">
        <f t="shared" si="88"/>
        <v>0</v>
      </c>
      <c r="AI139" s="54">
        <f t="shared" si="88"/>
        <v>0</v>
      </c>
      <c r="AK139" s="35" t="s">
        <v>32</v>
      </c>
      <c r="AL139" s="36">
        <f>AL144</f>
        <v>0.53846153846153844</v>
      </c>
    </row>
    <row r="140" spans="1:39" ht="33" thickBot="1">
      <c r="A140" s="129" t="s">
        <v>136</v>
      </c>
      <c r="L140" s="50">
        <f>SUM(B130,C131,D132,E133,F134,G135,H136)/I137</f>
        <v>0.15625</v>
      </c>
      <c r="M140" s="113"/>
      <c r="O140" s="142" t="s">
        <v>134</v>
      </c>
      <c r="P140" s="124">
        <f>(P135*$U130)+(P135*$U131)+(P135*$U132)+(P135*$U133)+(P135*$U134)</f>
        <v>0</v>
      </c>
      <c r="Q140" s="124">
        <f t="shared" ref="Q140:T140" si="89">(Q135*$U130)+(Q135*$U131)+(Q135*$U132)+(Q135*$U133)+(Q135*$U134)</f>
        <v>384</v>
      </c>
      <c r="R140" s="124">
        <f t="shared" si="89"/>
        <v>576</v>
      </c>
      <c r="S140" s="124">
        <f t="shared" si="89"/>
        <v>0</v>
      </c>
      <c r="T140" s="124">
        <f t="shared" si="89"/>
        <v>64</v>
      </c>
      <c r="U140" s="125">
        <f>SUM(N140:T140)</f>
        <v>1024</v>
      </c>
      <c r="V140" s="127"/>
      <c r="W140" s="125" t="s">
        <v>32</v>
      </c>
      <c r="X140" s="44"/>
      <c r="AA140" s="38" t="s">
        <v>33</v>
      </c>
      <c r="AB140" s="56">
        <v>1</v>
      </c>
      <c r="AC140" s="57">
        <v>1</v>
      </c>
      <c r="AD140" s="57">
        <f>AD132/AD138</f>
        <v>0</v>
      </c>
      <c r="AE140" s="57">
        <f>AE133/AE138</f>
        <v>0.5</v>
      </c>
      <c r="AF140" s="57">
        <f>AF134/AF138</f>
        <v>0</v>
      </c>
      <c r="AG140" s="57">
        <v>1</v>
      </c>
      <c r="AH140" s="63">
        <f>AH136/AH138</f>
        <v>1</v>
      </c>
      <c r="AI140" s="63">
        <f>AI137/AI138</f>
        <v>1</v>
      </c>
      <c r="AJ140" s="41"/>
      <c r="AK140" s="42" t="s">
        <v>34</v>
      </c>
      <c r="AL140" s="43">
        <f>AM141</f>
        <v>0.8125</v>
      </c>
    </row>
    <row r="141" spans="1:39" ht="22" thickTop="1">
      <c r="A141" s="130" t="s">
        <v>135</v>
      </c>
      <c r="B141" s="122">
        <f>B137*I130</f>
        <v>0</v>
      </c>
      <c r="C141" s="122">
        <f>C137*I131</f>
        <v>14</v>
      </c>
      <c r="D141" s="122">
        <f>D137*I132</f>
        <v>0</v>
      </c>
      <c r="E141" s="122">
        <f>E137*I133</f>
        <v>90</v>
      </c>
      <c r="F141" s="122">
        <f>F137*I134</f>
        <v>0</v>
      </c>
      <c r="G141" s="122">
        <f>G137*I135</f>
        <v>0</v>
      </c>
      <c r="H141" s="122">
        <f>H137*I136</f>
        <v>0</v>
      </c>
      <c r="I141" s="123">
        <f>SUM(B141:H141)</f>
        <v>104</v>
      </c>
      <c r="J141" s="128"/>
      <c r="K141" s="123"/>
      <c r="L141" s="44"/>
      <c r="M141" s="116"/>
      <c r="O141" s="13"/>
      <c r="P141" s="115"/>
      <c r="Q141" s="115"/>
      <c r="R141" s="115"/>
      <c r="S141" s="115"/>
      <c r="T141" s="115"/>
      <c r="U141" t="s">
        <v>110</v>
      </c>
      <c r="V141" s="102">
        <f>X138</f>
        <v>0.125</v>
      </c>
      <c r="W141" s="104">
        <f>(V141-V142)/(1-V142)</f>
        <v>8.8495575221238937E-3</v>
      </c>
      <c r="X141" s="44"/>
      <c r="AA141" s="129" t="s">
        <v>136</v>
      </c>
      <c r="AK141" s="4"/>
      <c r="AM141" s="50">
        <f>SUM(AB130,AC131,AD132,AE133,AF134,AG135,AH136,AI137)/AJ138</f>
        <v>0.8125</v>
      </c>
    </row>
    <row r="142" spans="1:39" ht="29" thickBot="1">
      <c r="A142" s="131" t="s">
        <v>134</v>
      </c>
      <c r="B142" s="124">
        <f>(B137*$I130)+(B137*$I131)+(B137*$I132)+(B137*$I133)+(B137*$I134)+(B137*$I135)+(B137*$I136)</f>
        <v>0</v>
      </c>
      <c r="C142" s="124">
        <f>(C137*$I130)+(C137*$I131)+(C137*$I132)+(C137*$I133)+(C137*$I134)+(C137*$I135)+(C137*$I136)</f>
        <v>448</v>
      </c>
      <c r="D142" s="124">
        <f>(D137*$I130)+(D137*$I131)+(D137*$I132)+(D137*$I133)+(D137*$I134)+(D137*$I135)+(D137*$I136)</f>
        <v>0</v>
      </c>
      <c r="E142" s="124">
        <f>(E137*$I130)+(E137*$I131)+(E137*$I132)+(E137*$I133)+(E137*$I134)+(E137*$I135)+(E137*$I136)</f>
        <v>576</v>
      </c>
      <c r="F142" s="124">
        <f>(F137*$I130)+(F137*$I131)+(F137*$I132)+(F137*$I133)+(F137*$I134)+(F137*$I135)+(F137*$I136)</f>
        <v>0</v>
      </c>
      <c r="G142" s="124">
        <f>(G137*$I130)+(G137*$I131)+(G137*$I132)+(G137*$I133)+(G137*$I134)+(G137*$I135)+(G137*$I136)</f>
        <v>0</v>
      </c>
      <c r="H142" s="124">
        <f>(H137*$I130)+(H137*$I131)+(H137*$I132)+(H137*$I133)+(H137*$I134)+(H137*$I135)+(H137*$I136)</f>
        <v>0</v>
      </c>
      <c r="I142" s="125">
        <f>SUM(B142:H142)</f>
        <v>1024</v>
      </c>
      <c r="J142" s="127"/>
      <c r="K142" s="125" t="s">
        <v>32</v>
      </c>
      <c r="L142" s="44"/>
      <c r="M142" s="116"/>
      <c r="O142" s="187"/>
      <c r="P142" s="115"/>
      <c r="Q142" s="115"/>
      <c r="R142" s="115"/>
      <c r="S142" s="115"/>
      <c r="T142" s="115"/>
      <c r="U142" t="s">
        <v>111</v>
      </c>
      <c r="V142" s="103">
        <f>U139/U140</f>
        <v>0.1171875</v>
      </c>
      <c r="W142" s="101"/>
      <c r="AA142" s="141" t="s">
        <v>135</v>
      </c>
      <c r="AB142" s="122">
        <f>AB138*AJ130</f>
        <v>0</v>
      </c>
      <c r="AC142" s="122">
        <f>AC138*AJ131</f>
        <v>0</v>
      </c>
      <c r="AD142" s="122">
        <f>AD138*AJ132</f>
        <v>2</v>
      </c>
      <c r="AE142" s="122">
        <f>AE138*AJ133</f>
        <v>8</v>
      </c>
      <c r="AF142" s="122">
        <f>AF138*AJ134</f>
        <v>0</v>
      </c>
      <c r="AG142" s="122">
        <f>AG138*AJ135</f>
        <v>0</v>
      </c>
      <c r="AH142" s="122">
        <f>AH138*AJ136</f>
        <v>594</v>
      </c>
      <c r="AI142" s="122">
        <f>AI138*AJ137</f>
        <v>4</v>
      </c>
      <c r="AJ142" s="123">
        <f>SUM(AB142:AI142)</f>
        <v>608</v>
      </c>
      <c r="AK142" s="128"/>
      <c r="AL142" s="123"/>
      <c r="AM142" s="44"/>
    </row>
    <row r="143" spans="1:39" ht="30" thickTop="1" thickBot="1">
      <c r="A143" s="13"/>
      <c r="B143" s="115"/>
      <c r="C143" s="115"/>
      <c r="D143" s="115"/>
      <c r="E143" s="115"/>
      <c r="F143" s="115"/>
      <c r="G143" s="115"/>
      <c r="H143" s="115"/>
      <c r="I143" t="s">
        <v>110</v>
      </c>
      <c r="J143" s="102">
        <f>L140</f>
        <v>0.15625</v>
      </c>
      <c r="K143" s="104">
        <f>(J143-J144)/(1-J144)</f>
        <v>6.0869565217391307E-2</v>
      </c>
      <c r="L143" s="44"/>
      <c r="M143" s="116"/>
      <c r="O143" s="13"/>
      <c r="P143" s="100"/>
      <c r="Q143" s="100"/>
      <c r="R143" s="100"/>
      <c r="S143" s="100"/>
      <c r="T143" s="100"/>
      <c r="U143" s="111"/>
      <c r="V143" s="132"/>
      <c r="W143" s="133"/>
      <c r="X143" s="49"/>
      <c r="AA143" s="142" t="s">
        <v>134</v>
      </c>
      <c r="AB143" s="124">
        <f>(AB138*$AJ130)+(AB138*$AJ131)+(AB138*$AJ132)+(AB138*$AJ133)+(AB138*$AJ134)+(AB138*$AJ135)+(AB138*$AJ136)+(AB138*$AJ137)</f>
        <v>0</v>
      </c>
      <c r="AC143" s="124">
        <f t="shared" ref="AC143:AH143" si="90">(AC138*$AJ130)+(AC138*$AJ131)+(AC138*$AJ132)+(AC138*$AJ133)+(AC138*$AJ134)+(AC138*$AJ135)+(AC138*$AJ136)+(AC138*$AJ137)</f>
        <v>0</v>
      </c>
      <c r="AD143" s="124">
        <f t="shared" si="90"/>
        <v>64</v>
      </c>
      <c r="AE143" s="124">
        <f t="shared" si="90"/>
        <v>128</v>
      </c>
      <c r="AF143" s="124">
        <f t="shared" si="90"/>
        <v>64</v>
      </c>
      <c r="AG143" s="124">
        <f t="shared" si="90"/>
        <v>0</v>
      </c>
      <c r="AH143" s="124">
        <f t="shared" si="90"/>
        <v>704</v>
      </c>
      <c r="AI143" s="124">
        <f>(AI138*$AJ130)+(AI138*$AJ131)+(AI138*$AJ132)+(AI138*$AJ133)+(AI138*$AJ134)+(AI138*$AJ135)+(AI138*$AJ136)+(AI138*$AJ137)</f>
        <v>64</v>
      </c>
      <c r="AJ143" s="125">
        <f>SUM(AB143:AI143)</f>
        <v>1024</v>
      </c>
      <c r="AK143" s="127"/>
      <c r="AL143" s="125" t="s">
        <v>32</v>
      </c>
      <c r="AM143" s="44"/>
    </row>
    <row r="144" spans="1:39" ht="22" thickTop="1">
      <c r="A144" s="187"/>
      <c r="B144" s="115"/>
      <c r="C144" s="115"/>
      <c r="D144" s="115"/>
      <c r="E144" s="115"/>
      <c r="F144" s="115"/>
      <c r="G144" s="115"/>
      <c r="H144" s="115"/>
      <c r="I144" t="s">
        <v>111</v>
      </c>
      <c r="J144" s="103">
        <f>I141/I142</f>
        <v>0.1015625</v>
      </c>
      <c r="K144" s="101"/>
      <c r="O144" s="24"/>
      <c r="P144" s="100"/>
      <c r="Q144" s="100"/>
      <c r="R144" s="100"/>
      <c r="S144" s="100"/>
      <c r="T144" s="100"/>
      <c r="U144" s="111"/>
      <c r="V144" s="132"/>
      <c r="W144" s="101"/>
      <c r="X144" s="24"/>
      <c r="AA144" s="187"/>
      <c r="AB144" s="13"/>
      <c r="AC144" s="115"/>
      <c r="AD144" s="115"/>
      <c r="AE144" s="115"/>
      <c r="AF144" s="115"/>
      <c r="AG144" s="115"/>
      <c r="AJ144" t="s">
        <v>110</v>
      </c>
      <c r="AK144" s="102">
        <f>AM141</f>
        <v>0.8125</v>
      </c>
      <c r="AL144" s="104">
        <f>(AK144-AK145)/(1-AK145)</f>
        <v>0.53846153846153844</v>
      </c>
      <c r="AM144" s="44"/>
    </row>
    <row r="145" spans="1:38" ht="21">
      <c r="A145" s="24"/>
      <c r="B145" s="126"/>
      <c r="C145" s="126"/>
      <c r="D145" s="126"/>
      <c r="E145" s="126"/>
      <c r="F145" s="126"/>
      <c r="G145" s="126"/>
      <c r="H145" s="126"/>
      <c r="I145" s="134"/>
      <c r="J145" s="135"/>
      <c r="K145" s="136"/>
      <c r="O145" s="24"/>
      <c r="P145" s="24"/>
      <c r="Q145" s="24"/>
      <c r="R145" s="24"/>
      <c r="S145" s="24"/>
      <c r="T145" s="24"/>
      <c r="U145" s="24"/>
      <c r="V145" s="24"/>
      <c r="W145" s="24"/>
      <c r="X145" s="24"/>
      <c r="AA145" s="59"/>
      <c r="AB145" s="187"/>
      <c r="AC145" s="115"/>
      <c r="AD145" s="115"/>
      <c r="AE145" s="115"/>
      <c r="AF145" s="115"/>
      <c r="AG145" s="115"/>
      <c r="AJ145" t="s">
        <v>111</v>
      </c>
      <c r="AK145" s="103">
        <f>AJ142/AJ143</f>
        <v>0.59375</v>
      </c>
      <c r="AL145" s="101"/>
    </row>
    <row r="146" spans="1:38">
      <c r="J146"/>
    </row>
    <row r="147" spans="1:38">
      <c r="J147"/>
    </row>
    <row r="148" spans="1:38" ht="17" thickBot="1">
      <c r="A148" s="188" t="s">
        <v>8</v>
      </c>
      <c r="B148" s="188"/>
      <c r="C148" s="188"/>
      <c r="D148" s="188"/>
      <c r="E148" s="188"/>
      <c r="F148" s="188"/>
      <c r="G148" s="188"/>
      <c r="H148" s="188"/>
      <c r="I148" s="188"/>
      <c r="J148" s="188"/>
      <c r="K148" s="188"/>
      <c r="L148" s="6"/>
      <c r="M148" s="112"/>
      <c r="O148" s="188" t="s">
        <v>8</v>
      </c>
      <c r="P148" s="188"/>
      <c r="Q148" s="188"/>
      <c r="R148" s="188"/>
      <c r="S148" s="188"/>
      <c r="T148" s="188"/>
      <c r="U148" s="188"/>
      <c r="V148" s="188"/>
      <c r="W148" s="188"/>
      <c r="X148" s="190"/>
      <c r="AA148" s="188" t="s">
        <v>8</v>
      </c>
      <c r="AB148" s="188"/>
      <c r="AC148" s="188"/>
      <c r="AD148" s="188"/>
      <c r="AE148" s="188"/>
      <c r="AF148" s="188"/>
      <c r="AG148" s="188"/>
      <c r="AH148" s="188"/>
      <c r="AI148" s="188"/>
      <c r="AJ148" s="188"/>
      <c r="AK148" s="188"/>
      <c r="AL148" s="6"/>
    </row>
    <row r="149" spans="1:38" ht="91" thickBot="1">
      <c r="A149" s="8" t="s">
        <v>55</v>
      </c>
      <c r="B149" s="9" t="s">
        <v>10</v>
      </c>
      <c r="C149" s="9" t="s">
        <v>11</v>
      </c>
      <c r="D149" s="9" t="s">
        <v>12</v>
      </c>
      <c r="E149" s="9" t="s">
        <v>13</v>
      </c>
      <c r="F149" s="9" t="s">
        <v>14</v>
      </c>
      <c r="G149" s="9" t="s">
        <v>15</v>
      </c>
      <c r="H149" s="9" t="s">
        <v>16</v>
      </c>
      <c r="I149" s="10" t="s">
        <v>17</v>
      </c>
      <c r="J149" s="11" t="s">
        <v>18</v>
      </c>
      <c r="K149" s="12" t="s">
        <v>19</v>
      </c>
      <c r="L149" s="13"/>
      <c r="M149" s="114"/>
      <c r="O149" s="8" t="s">
        <v>56</v>
      </c>
      <c r="P149" s="9" t="s">
        <v>10</v>
      </c>
      <c r="Q149" s="9" t="s">
        <v>11</v>
      </c>
      <c r="R149" s="9" t="s">
        <v>21</v>
      </c>
      <c r="S149" s="9" t="s">
        <v>22</v>
      </c>
      <c r="T149" s="9" t="s">
        <v>16</v>
      </c>
      <c r="U149" s="10" t="s">
        <v>17</v>
      </c>
      <c r="V149" s="15" t="s">
        <v>18</v>
      </c>
      <c r="W149" s="12" t="s">
        <v>19</v>
      </c>
      <c r="X149" s="16"/>
      <c r="AA149" s="8" t="s">
        <v>57</v>
      </c>
      <c r="AB149" s="17" t="s">
        <v>24</v>
      </c>
      <c r="AC149" s="17" t="s">
        <v>25</v>
      </c>
      <c r="AD149" s="17" t="s">
        <v>26</v>
      </c>
      <c r="AE149" s="17" t="s">
        <v>27</v>
      </c>
      <c r="AF149" s="17" t="s">
        <v>28</v>
      </c>
      <c r="AG149" s="17" t="s">
        <v>29</v>
      </c>
      <c r="AH149" s="17" t="s">
        <v>30</v>
      </c>
      <c r="AI149" s="17" t="s">
        <v>16</v>
      </c>
      <c r="AJ149" s="18" t="s">
        <v>17</v>
      </c>
      <c r="AK149" s="18" t="s">
        <v>18</v>
      </c>
      <c r="AL149" s="19" t="s">
        <v>19</v>
      </c>
    </row>
    <row r="150" spans="1:38" ht="56">
      <c r="A150" s="20" t="s">
        <v>10</v>
      </c>
      <c r="B150" s="13"/>
      <c r="C150" s="13">
        <v>11</v>
      </c>
      <c r="D150" s="13"/>
      <c r="E150" s="13">
        <v>10</v>
      </c>
      <c r="F150" s="13"/>
      <c r="G150" s="13"/>
      <c r="H150" s="13"/>
      <c r="I150" s="21">
        <f t="shared" ref="I150:I157" si="91">SUM(B150:H150)</f>
        <v>21</v>
      </c>
      <c r="J150" s="22">
        <f>1-K150</f>
        <v>1</v>
      </c>
      <c r="K150" s="23">
        <f>0/8</f>
        <v>0</v>
      </c>
      <c r="L150" s="21"/>
      <c r="M150" s="115"/>
      <c r="O150" s="20" t="s">
        <v>10</v>
      </c>
      <c r="P150" s="13"/>
      <c r="Q150" s="13"/>
      <c r="R150" s="13">
        <v>10</v>
      </c>
      <c r="S150" s="13"/>
      <c r="T150" s="13">
        <v>1</v>
      </c>
      <c r="U150" s="21">
        <f t="shared" ref="U150:U155" si="92">SUM(P150:T150)</f>
        <v>11</v>
      </c>
      <c r="V150" s="25">
        <f>1-W150</f>
        <v>1</v>
      </c>
      <c r="W150" s="23">
        <f>P150/U150</f>
        <v>0</v>
      </c>
      <c r="X150" s="21"/>
      <c r="AA150" s="26" t="s">
        <v>24</v>
      </c>
      <c r="AB150" s="27"/>
      <c r="AC150" s="28"/>
      <c r="AD150" s="28"/>
      <c r="AE150" s="28"/>
      <c r="AF150" s="28"/>
      <c r="AG150" s="28"/>
      <c r="AH150" s="28"/>
      <c r="AJ150" s="29">
        <f t="shared" ref="AJ150:AJ156" si="93">SUM(AB150:AH150)</f>
        <v>0</v>
      </c>
      <c r="AK150" s="30">
        <f>1-AL150</f>
        <v>0</v>
      </c>
      <c r="AL150" s="31">
        <v>1</v>
      </c>
    </row>
    <row r="151" spans="1:38" ht="45">
      <c r="A151" s="20" t="s">
        <v>11</v>
      </c>
      <c r="B151" s="13"/>
      <c r="C151" s="13">
        <v>1</v>
      </c>
      <c r="D151" s="13"/>
      <c r="E151" s="13"/>
      <c r="F151" s="13"/>
      <c r="G151" s="13"/>
      <c r="H151" s="13"/>
      <c r="I151" s="21">
        <f t="shared" si="91"/>
        <v>1</v>
      </c>
      <c r="J151" s="22">
        <f t="shared" ref="J151:J156" si="94">1-K151</f>
        <v>0</v>
      </c>
      <c r="K151" s="23">
        <f>C151/I151</f>
        <v>1</v>
      </c>
      <c r="L151" s="21"/>
      <c r="M151" s="115"/>
      <c r="O151" s="20" t="s">
        <v>11</v>
      </c>
      <c r="P151" s="13"/>
      <c r="Q151" s="13">
        <v>10</v>
      </c>
      <c r="R151" s="13"/>
      <c r="S151" s="13"/>
      <c r="T151" s="13"/>
      <c r="U151" s="21">
        <f t="shared" si="92"/>
        <v>10</v>
      </c>
      <c r="V151" s="25">
        <f t="shared" ref="V151:V154" si="95">1-W151</f>
        <v>0</v>
      </c>
      <c r="W151" s="23">
        <f>Q151/U151</f>
        <v>1</v>
      </c>
      <c r="X151" s="21"/>
      <c r="AA151" s="32" t="s">
        <v>25</v>
      </c>
      <c r="AB151" s="16"/>
      <c r="AC151" s="13"/>
      <c r="AD151" s="13"/>
      <c r="AE151" s="13"/>
      <c r="AF151" s="13"/>
      <c r="AG151" s="13"/>
      <c r="AH151" s="13"/>
      <c r="AJ151" s="21">
        <f t="shared" si="93"/>
        <v>0</v>
      </c>
      <c r="AK151" s="25">
        <f>1-AL151</f>
        <v>0</v>
      </c>
      <c r="AL151" s="23">
        <v>1</v>
      </c>
    </row>
    <row r="152" spans="1:38" ht="45">
      <c r="A152" s="20" t="s">
        <v>12</v>
      </c>
      <c r="B152" s="13"/>
      <c r="C152" s="13"/>
      <c r="D152" s="13"/>
      <c r="E152" s="13"/>
      <c r="F152" s="13"/>
      <c r="G152" s="13"/>
      <c r="H152" s="13"/>
      <c r="I152" s="21">
        <f t="shared" si="91"/>
        <v>0</v>
      </c>
      <c r="J152" s="22">
        <f t="shared" si="94"/>
        <v>0</v>
      </c>
      <c r="K152" s="23">
        <v>1</v>
      </c>
      <c r="L152" s="21"/>
      <c r="M152" s="115"/>
      <c r="O152" s="20" t="s">
        <v>21</v>
      </c>
      <c r="P152" s="13"/>
      <c r="Q152" s="13">
        <v>1</v>
      </c>
      <c r="R152" s="13">
        <v>3</v>
      </c>
      <c r="S152" s="13"/>
      <c r="T152" s="13">
        <v>1</v>
      </c>
      <c r="U152" s="21">
        <f t="shared" si="92"/>
        <v>5</v>
      </c>
      <c r="V152" s="25">
        <f t="shared" si="95"/>
        <v>0.4</v>
      </c>
      <c r="W152" s="23">
        <f>R152/U152</f>
        <v>0.6</v>
      </c>
      <c r="X152" s="21"/>
      <c r="AA152" s="32" t="s">
        <v>26</v>
      </c>
      <c r="AB152" s="16"/>
      <c r="AC152" s="13"/>
      <c r="AD152" s="13"/>
      <c r="AE152" s="13">
        <v>1</v>
      </c>
      <c r="AF152" s="13"/>
      <c r="AG152" s="13"/>
      <c r="AH152" s="13"/>
      <c r="AJ152" s="21">
        <f t="shared" si="93"/>
        <v>1</v>
      </c>
      <c r="AK152" s="25">
        <f t="shared" ref="AK152:AK157" si="96">1-AL152</f>
        <v>1</v>
      </c>
      <c r="AL152" s="23">
        <f>AD152/AJ152</f>
        <v>0</v>
      </c>
    </row>
    <row r="153" spans="1:38" ht="42">
      <c r="A153" s="20" t="s">
        <v>13</v>
      </c>
      <c r="B153" s="13"/>
      <c r="C153" s="13">
        <v>1</v>
      </c>
      <c r="D153" s="13"/>
      <c r="E153" s="13">
        <v>3</v>
      </c>
      <c r="F153" s="13"/>
      <c r="G153" s="13"/>
      <c r="H153" s="13"/>
      <c r="I153" s="21">
        <f t="shared" si="91"/>
        <v>4</v>
      </c>
      <c r="J153" s="22">
        <f t="shared" si="94"/>
        <v>0.25</v>
      </c>
      <c r="K153" s="23">
        <f>E153/I153</f>
        <v>0.75</v>
      </c>
      <c r="L153" s="21"/>
      <c r="M153" s="115"/>
      <c r="O153" s="20" t="s">
        <v>22</v>
      </c>
      <c r="P153" s="13"/>
      <c r="Q153" s="13"/>
      <c r="R153" s="13"/>
      <c r="S153" s="13"/>
      <c r="T153" s="13"/>
      <c r="U153" s="21">
        <f t="shared" si="92"/>
        <v>0</v>
      </c>
      <c r="V153" s="25">
        <f t="shared" si="95"/>
        <v>0</v>
      </c>
      <c r="W153" s="23">
        <v>1</v>
      </c>
      <c r="X153" s="21"/>
      <c r="AA153" s="32" t="s">
        <v>27</v>
      </c>
      <c r="AB153" s="16"/>
      <c r="AC153" s="13"/>
      <c r="AD153" s="13"/>
      <c r="AE153" s="13">
        <v>2</v>
      </c>
      <c r="AF153" s="13"/>
      <c r="AG153" s="13"/>
      <c r="AH153" s="13"/>
      <c r="AJ153" s="21">
        <f t="shared" si="93"/>
        <v>2</v>
      </c>
      <c r="AK153" s="25">
        <f t="shared" si="96"/>
        <v>0</v>
      </c>
      <c r="AL153" s="23">
        <f>AE153/AJ153</f>
        <v>1</v>
      </c>
    </row>
    <row r="154" spans="1:38" ht="45">
      <c r="A154" s="20" t="s">
        <v>14</v>
      </c>
      <c r="B154" s="13"/>
      <c r="C154" s="13"/>
      <c r="D154" s="13"/>
      <c r="E154" s="13"/>
      <c r="F154" s="13"/>
      <c r="G154" s="13"/>
      <c r="H154" s="13"/>
      <c r="I154" s="21">
        <f t="shared" si="91"/>
        <v>0</v>
      </c>
      <c r="J154" s="22">
        <f t="shared" si="94"/>
        <v>0</v>
      </c>
      <c r="K154" s="23">
        <v>1</v>
      </c>
      <c r="L154" s="21"/>
      <c r="M154" s="115"/>
      <c r="O154" s="20" t="s">
        <v>16</v>
      </c>
      <c r="P154" s="13"/>
      <c r="Q154" s="13">
        <v>1</v>
      </c>
      <c r="R154" s="13">
        <v>5</v>
      </c>
      <c r="S154" s="13"/>
      <c r="T154" s="13"/>
      <c r="U154" s="21">
        <f t="shared" si="92"/>
        <v>6</v>
      </c>
      <c r="V154" s="25">
        <f t="shared" si="95"/>
        <v>1</v>
      </c>
      <c r="W154" s="23">
        <f>T154/U154</f>
        <v>0</v>
      </c>
      <c r="X154" s="21"/>
      <c r="AA154" s="32" t="s">
        <v>28</v>
      </c>
      <c r="AB154" s="16"/>
      <c r="AC154" s="13"/>
      <c r="AD154" s="13"/>
      <c r="AE154" s="13"/>
      <c r="AF154" s="13"/>
      <c r="AG154" s="13"/>
      <c r="AH154" s="13"/>
      <c r="AJ154" s="21">
        <f t="shared" si="93"/>
        <v>0</v>
      </c>
      <c r="AK154" s="25">
        <f t="shared" si="96"/>
        <v>0</v>
      </c>
      <c r="AL154" s="23">
        <v>1</v>
      </c>
    </row>
    <row r="155" spans="1:38" ht="30">
      <c r="A155" s="20" t="s">
        <v>15</v>
      </c>
      <c r="B155" s="13"/>
      <c r="C155" s="13"/>
      <c r="D155" s="13"/>
      <c r="E155" s="13"/>
      <c r="F155" s="13"/>
      <c r="G155" s="13"/>
      <c r="H155" s="13"/>
      <c r="I155" s="21">
        <f t="shared" si="91"/>
        <v>0</v>
      </c>
      <c r="J155" s="22">
        <f t="shared" si="94"/>
        <v>0</v>
      </c>
      <c r="K155" s="23">
        <v>1</v>
      </c>
      <c r="L155" s="21"/>
      <c r="M155" s="115"/>
      <c r="O155" s="33" t="s">
        <v>17</v>
      </c>
      <c r="P155" s="21">
        <f>SUM(P150:P154)</f>
        <v>0</v>
      </c>
      <c r="Q155" s="21">
        <f>SUM(Q150:Q154)</f>
        <v>12</v>
      </c>
      <c r="R155" s="21">
        <f>SUM(R150:R154)</f>
        <v>18</v>
      </c>
      <c r="S155" s="21">
        <f>SUM(S150:S154)</f>
        <v>0</v>
      </c>
      <c r="T155" s="21">
        <f>SUM(T150:T154)</f>
        <v>2</v>
      </c>
      <c r="U155" s="21">
        <f t="shared" si="92"/>
        <v>32</v>
      </c>
      <c r="V155" s="21"/>
      <c r="W155" s="34"/>
      <c r="X155" s="21"/>
      <c r="AA155" s="32" t="s">
        <v>29</v>
      </c>
      <c r="AB155" s="16"/>
      <c r="AC155" s="13"/>
      <c r="AD155" s="13"/>
      <c r="AE155" s="13"/>
      <c r="AF155" s="13"/>
      <c r="AG155" s="13"/>
      <c r="AH155" s="13"/>
      <c r="AJ155" s="21">
        <f t="shared" si="93"/>
        <v>0</v>
      </c>
      <c r="AK155" s="25">
        <f t="shared" si="96"/>
        <v>0</v>
      </c>
      <c r="AL155" s="23">
        <v>1</v>
      </c>
    </row>
    <row r="156" spans="1:38" ht="45">
      <c r="A156" s="20" t="s">
        <v>16</v>
      </c>
      <c r="B156" s="13"/>
      <c r="C156" s="13">
        <v>1</v>
      </c>
      <c r="D156" s="13"/>
      <c r="E156" s="13">
        <v>5</v>
      </c>
      <c r="F156" s="13"/>
      <c r="G156" s="13"/>
      <c r="H156" s="13"/>
      <c r="I156" s="21">
        <f t="shared" si="91"/>
        <v>6</v>
      </c>
      <c r="J156" s="22">
        <f t="shared" si="94"/>
        <v>1</v>
      </c>
      <c r="K156" s="23">
        <f>H156/I156</f>
        <v>0</v>
      </c>
      <c r="L156" s="21"/>
      <c r="M156" s="115"/>
      <c r="O156" s="33" t="s">
        <v>31</v>
      </c>
      <c r="P156" s="25">
        <f>1-P157</f>
        <v>0</v>
      </c>
      <c r="Q156" s="25">
        <f t="shared" ref="Q156:T156" si="97">1-Q157</f>
        <v>0.16666666666666663</v>
      </c>
      <c r="R156" s="25">
        <f t="shared" si="97"/>
        <v>0.83333333333333337</v>
      </c>
      <c r="S156" s="25">
        <f t="shared" si="97"/>
        <v>0</v>
      </c>
      <c r="T156" s="25">
        <f t="shared" si="97"/>
        <v>1</v>
      </c>
      <c r="U156" s="13"/>
      <c r="V156" s="35" t="s">
        <v>32</v>
      </c>
      <c r="W156" s="36">
        <f>W161</f>
        <v>0.24189526184538654</v>
      </c>
      <c r="X156" s="21"/>
      <c r="AA156" s="32" t="s">
        <v>30</v>
      </c>
      <c r="AB156" s="16"/>
      <c r="AC156" s="13"/>
      <c r="AD156" s="13">
        <v>2</v>
      </c>
      <c r="AE156" s="13">
        <v>1</v>
      </c>
      <c r="AF156" s="13">
        <v>2</v>
      </c>
      <c r="AG156" s="13"/>
      <c r="AH156" s="13">
        <v>22</v>
      </c>
      <c r="AJ156" s="21">
        <f t="shared" si="93"/>
        <v>27</v>
      </c>
      <c r="AK156" s="25">
        <f t="shared" si="96"/>
        <v>0.18518518518518523</v>
      </c>
      <c r="AL156" s="23">
        <f>AH156/AJ156</f>
        <v>0.81481481481481477</v>
      </c>
    </row>
    <row r="157" spans="1:38" ht="29" thickBot="1">
      <c r="A157" s="33" t="s">
        <v>17</v>
      </c>
      <c r="B157" s="21">
        <f t="shared" ref="B157:H157" si="98">SUM(B150:B156)</f>
        <v>0</v>
      </c>
      <c r="C157" s="21">
        <f t="shared" si="98"/>
        <v>14</v>
      </c>
      <c r="D157" s="21">
        <f t="shared" si="98"/>
        <v>0</v>
      </c>
      <c r="E157" s="21">
        <f t="shared" si="98"/>
        <v>18</v>
      </c>
      <c r="F157" s="21">
        <f t="shared" si="98"/>
        <v>0</v>
      </c>
      <c r="G157" s="21">
        <f t="shared" si="98"/>
        <v>0</v>
      </c>
      <c r="H157" s="21">
        <f t="shared" si="98"/>
        <v>0</v>
      </c>
      <c r="I157" s="21">
        <f t="shared" si="91"/>
        <v>32</v>
      </c>
      <c r="J157" s="37"/>
      <c r="K157" s="34"/>
      <c r="L157" s="21"/>
      <c r="M157" s="115"/>
      <c r="O157" s="38" t="s">
        <v>33</v>
      </c>
      <c r="P157" s="39">
        <v>1</v>
      </c>
      <c r="Q157" s="40">
        <f>Q151/Q155</f>
        <v>0.83333333333333337</v>
      </c>
      <c r="R157" s="40">
        <f>R152/R155</f>
        <v>0.16666666666666666</v>
      </c>
      <c r="S157" s="40">
        <v>1</v>
      </c>
      <c r="T157" s="39">
        <f>T154/T155</f>
        <v>0</v>
      </c>
      <c r="U157" s="41"/>
      <c r="V157" s="42" t="s">
        <v>34</v>
      </c>
      <c r="W157" s="43">
        <f>X158</f>
        <v>0.40625</v>
      </c>
      <c r="X157" s="44"/>
      <c r="AA157" s="60" t="s">
        <v>16</v>
      </c>
      <c r="AI157" s="24">
        <v>2</v>
      </c>
      <c r="AJ157" s="21">
        <f>SUM(AB157:AI157)</f>
        <v>2</v>
      </c>
      <c r="AK157" s="25">
        <f t="shared" si="96"/>
        <v>0</v>
      </c>
      <c r="AL157" s="23">
        <f>AI157/AJ157</f>
        <v>1</v>
      </c>
    </row>
    <row r="158" spans="1:38" ht="28">
      <c r="A158" s="33" t="s">
        <v>31</v>
      </c>
      <c r="B158" s="25">
        <f>1-B159</f>
        <v>0</v>
      </c>
      <c r="C158" s="25">
        <f t="shared" ref="C158:H158" si="99">1-C159</f>
        <v>0.9285714285714286</v>
      </c>
      <c r="D158" s="25">
        <f t="shared" si="99"/>
        <v>0</v>
      </c>
      <c r="E158" s="25">
        <f t="shared" si="99"/>
        <v>0.83333333333333337</v>
      </c>
      <c r="F158" s="25">
        <f t="shared" si="99"/>
        <v>0</v>
      </c>
      <c r="G158" s="25">
        <f t="shared" si="99"/>
        <v>0</v>
      </c>
      <c r="H158" s="25">
        <f t="shared" si="99"/>
        <v>0</v>
      </c>
      <c r="I158" s="49"/>
      <c r="J158" s="46" t="s">
        <v>32</v>
      </c>
      <c r="K158" s="36">
        <f>K163</f>
        <v>4.4776119402985072E-2</v>
      </c>
      <c r="L158" s="21"/>
      <c r="M158" s="115"/>
      <c r="O158" s="129" t="s">
        <v>136</v>
      </c>
      <c r="V158" s="4"/>
      <c r="X158" s="50">
        <f>SUM(P150,Q151,R152,S153,T154)/U155</f>
        <v>0.40625</v>
      </c>
      <c r="AA158" s="33" t="s">
        <v>17</v>
      </c>
      <c r="AB158" s="21">
        <f t="shared" ref="AB158:AH158" si="100">SUM(AB150:AB157)</f>
        <v>0</v>
      </c>
      <c r="AC158" s="21">
        <f t="shared" si="100"/>
        <v>0</v>
      </c>
      <c r="AD158" s="21">
        <f t="shared" si="100"/>
        <v>2</v>
      </c>
      <c r="AE158" s="21">
        <f t="shared" si="100"/>
        <v>4</v>
      </c>
      <c r="AF158" s="21">
        <f t="shared" si="100"/>
        <v>2</v>
      </c>
      <c r="AG158" s="21">
        <f t="shared" si="100"/>
        <v>0</v>
      </c>
      <c r="AH158" s="21">
        <f t="shared" si="100"/>
        <v>22</v>
      </c>
      <c r="AI158" s="21">
        <f>SUM(AI150:AI157)</f>
        <v>2</v>
      </c>
      <c r="AJ158" s="21">
        <f>SUM(AB158:AI158)</f>
        <v>32</v>
      </c>
      <c r="AL158" s="51"/>
    </row>
    <row r="159" spans="1:38" ht="29" thickBot="1">
      <c r="A159" s="38" t="s">
        <v>33</v>
      </c>
      <c r="B159" s="39">
        <v>1</v>
      </c>
      <c r="C159" s="40">
        <f>C151/C157</f>
        <v>7.1428571428571425E-2</v>
      </c>
      <c r="D159" s="40">
        <v>1</v>
      </c>
      <c r="E159" s="40">
        <f>E153/E157</f>
        <v>0.16666666666666666</v>
      </c>
      <c r="F159" s="40">
        <v>1</v>
      </c>
      <c r="G159" s="40">
        <v>1</v>
      </c>
      <c r="H159" s="39">
        <v>1</v>
      </c>
      <c r="I159" s="41"/>
      <c r="J159" s="52" t="s">
        <v>34</v>
      </c>
      <c r="K159" s="43">
        <f>L160</f>
        <v>0.125</v>
      </c>
      <c r="L159" s="44"/>
      <c r="M159" s="116"/>
      <c r="O159" s="141" t="s">
        <v>135</v>
      </c>
      <c r="P159" s="122">
        <f>P155*U150</f>
        <v>0</v>
      </c>
      <c r="Q159" s="122">
        <f>Q155*U151</f>
        <v>120</v>
      </c>
      <c r="R159" s="122">
        <f>R155*U152</f>
        <v>90</v>
      </c>
      <c r="S159" s="122">
        <f>S155*U153</f>
        <v>0</v>
      </c>
      <c r="T159" s="122">
        <f>T155*U154</f>
        <v>12</v>
      </c>
      <c r="U159" s="123">
        <f>SUM(N159:T159)</f>
        <v>222</v>
      </c>
      <c r="V159" s="128"/>
      <c r="W159" s="123"/>
      <c r="X159" s="44"/>
      <c r="AA159" s="33" t="s">
        <v>35</v>
      </c>
      <c r="AB159" s="53">
        <f>1-AB160</f>
        <v>0</v>
      </c>
      <c r="AC159" s="54">
        <f>1-AC160</f>
        <v>0</v>
      </c>
      <c r="AD159" s="54">
        <f t="shared" ref="AD159:AI159" si="101">1-AD160</f>
        <v>1</v>
      </c>
      <c r="AE159" s="54">
        <f t="shared" si="101"/>
        <v>0.5</v>
      </c>
      <c r="AF159" s="54">
        <f t="shared" si="101"/>
        <v>1</v>
      </c>
      <c r="AG159" s="54">
        <f t="shared" si="101"/>
        <v>0</v>
      </c>
      <c r="AH159" s="54">
        <f t="shared" si="101"/>
        <v>0</v>
      </c>
      <c r="AI159" s="54">
        <f t="shared" si="101"/>
        <v>0</v>
      </c>
      <c r="AK159" s="35" t="s">
        <v>32</v>
      </c>
      <c r="AL159" s="36">
        <f>AL164</f>
        <v>0.53846153846153844</v>
      </c>
    </row>
    <row r="160" spans="1:38" ht="33" thickBot="1">
      <c r="A160" s="129" t="s">
        <v>136</v>
      </c>
      <c r="L160" s="50">
        <f>SUM(B150,C151,D152,E153,F154,G155,H156)/I157</f>
        <v>0.125</v>
      </c>
      <c r="M160" s="113"/>
      <c r="O160" s="142" t="s">
        <v>134</v>
      </c>
      <c r="P160" s="124">
        <f>(P155*$U150)+(P155*$U151)+(P155*$U152)+(P155*$U153)+(P155*$U154)</f>
        <v>0</v>
      </c>
      <c r="Q160" s="124">
        <f t="shared" ref="Q160:T160" si="102">(Q155*$U150)+(Q155*$U151)+(Q155*$U152)+(Q155*$U153)+(Q155*$U154)</f>
        <v>384</v>
      </c>
      <c r="R160" s="124">
        <f t="shared" si="102"/>
        <v>576</v>
      </c>
      <c r="S160" s="124">
        <f t="shared" si="102"/>
        <v>0</v>
      </c>
      <c r="T160" s="124">
        <f t="shared" si="102"/>
        <v>64</v>
      </c>
      <c r="U160" s="125">
        <f>SUM(N160:T160)</f>
        <v>1024</v>
      </c>
      <c r="V160" s="127"/>
      <c r="W160" s="125" t="s">
        <v>32</v>
      </c>
      <c r="X160" s="44"/>
      <c r="AA160" s="38" t="s">
        <v>33</v>
      </c>
      <c r="AB160" s="56">
        <v>1</v>
      </c>
      <c r="AC160" s="57">
        <v>1</v>
      </c>
      <c r="AD160" s="57">
        <f>AD152/AD158</f>
        <v>0</v>
      </c>
      <c r="AE160" s="57">
        <f>AE153/AE158</f>
        <v>0.5</v>
      </c>
      <c r="AF160" s="57">
        <f>AF154/AF158</f>
        <v>0</v>
      </c>
      <c r="AG160" s="57">
        <v>1</v>
      </c>
      <c r="AH160" s="63">
        <f>AH156/AH158</f>
        <v>1</v>
      </c>
      <c r="AI160" s="63">
        <f>AI157/AI158</f>
        <v>1</v>
      </c>
      <c r="AJ160" s="41"/>
      <c r="AK160" s="42" t="s">
        <v>34</v>
      </c>
      <c r="AL160" s="43">
        <f>AM161</f>
        <v>0.8125</v>
      </c>
    </row>
    <row r="161" spans="1:39" ht="22" thickTop="1">
      <c r="A161" s="130" t="s">
        <v>135</v>
      </c>
      <c r="B161" s="122">
        <f>B157*I150</f>
        <v>0</v>
      </c>
      <c r="C161" s="122">
        <f>C157*I151</f>
        <v>14</v>
      </c>
      <c r="D161" s="122">
        <f>D157*I152</f>
        <v>0</v>
      </c>
      <c r="E161" s="122">
        <f>E157*I153</f>
        <v>72</v>
      </c>
      <c r="F161" s="122">
        <f>F157*I154</f>
        <v>0</v>
      </c>
      <c r="G161" s="122">
        <f>G157*I155</f>
        <v>0</v>
      </c>
      <c r="H161" s="122">
        <f>H157*I156</f>
        <v>0</v>
      </c>
      <c r="I161" s="123">
        <f>SUM(B161:H161)</f>
        <v>86</v>
      </c>
      <c r="J161" s="128"/>
      <c r="K161" s="123"/>
      <c r="L161" s="44"/>
      <c r="O161" s="13"/>
      <c r="P161" s="115"/>
      <c r="Q161" s="115"/>
      <c r="R161" s="115"/>
      <c r="S161" s="115"/>
      <c r="T161" s="115"/>
      <c r="U161" t="s">
        <v>110</v>
      </c>
      <c r="V161" s="102">
        <f>X158</f>
        <v>0.40625</v>
      </c>
      <c r="W161" s="104">
        <f>(V161-V162)/(1-V162)</f>
        <v>0.24189526184538654</v>
      </c>
      <c r="X161" s="44"/>
      <c r="AA161" s="129" t="s">
        <v>136</v>
      </c>
      <c r="AK161" s="4"/>
      <c r="AM161" s="50">
        <f>SUM(AB150,AC151,AD152,AE153,AF154,AG155,AH156,AI157)/AJ158</f>
        <v>0.8125</v>
      </c>
    </row>
    <row r="162" spans="1:39" ht="29" thickBot="1">
      <c r="A162" s="131" t="s">
        <v>134</v>
      </c>
      <c r="B162" s="124">
        <f>(B157*$I150)+(B157*$I151)+(B157*$I152)+(B157*$I153)+(B157*$I154)+(B157*$I155)+(B157*$I156)</f>
        <v>0</v>
      </c>
      <c r="C162" s="124">
        <f>(C157*$I150)+(C157*$I151)+(C157*$I152)+(C157*$I153)+(C157*$I154)+(C157*$I155)+(C157*$I156)</f>
        <v>448</v>
      </c>
      <c r="D162" s="124">
        <f>(D157*$I150)+(D157*$I151)+(D157*$I152)+(D157*$I153)+(D157*$I154)+(D157*$I155)+(D157*$I156)</f>
        <v>0</v>
      </c>
      <c r="E162" s="124">
        <f>(E157*$I150)+(E157*$I151)+(E157*$I152)+(E157*$I153)+(E157*$I154)+(E157*$I155)+(E157*$I156)</f>
        <v>576</v>
      </c>
      <c r="F162" s="124">
        <f>(F157*$I150)+(F157*$I151)+(F157*$I152)+(F157*$I153)+(F157*$I154)+(F157*$I155)+(F157*$I156)</f>
        <v>0</v>
      </c>
      <c r="G162" s="124">
        <f>(G157*$I150)+(G157*$I151)+(G157*$I152)+(G157*$I153)+(G157*$I154)+(G157*$I155)+(G157*$I156)</f>
        <v>0</v>
      </c>
      <c r="H162" s="124">
        <f>(H157*$I150)+(H157*$I151)+(H157*$I152)+(H157*$I153)+(H157*$I154)+(H157*$I155)+(H157*$I156)</f>
        <v>0</v>
      </c>
      <c r="I162" s="125">
        <f>SUM(B162:H162)</f>
        <v>1024</v>
      </c>
      <c r="J162" s="127"/>
      <c r="K162" s="125" t="s">
        <v>32</v>
      </c>
      <c r="L162" s="44"/>
      <c r="O162" s="187"/>
      <c r="P162" s="115"/>
      <c r="Q162" s="115"/>
      <c r="R162" s="115"/>
      <c r="S162" s="115"/>
      <c r="T162" s="115"/>
      <c r="U162" t="s">
        <v>111</v>
      </c>
      <c r="V162" s="103">
        <f>U159/U160</f>
        <v>0.216796875</v>
      </c>
      <c r="W162" s="101"/>
      <c r="AA162" s="141" t="s">
        <v>135</v>
      </c>
      <c r="AB162" s="122">
        <f>AB158*AJ150</f>
        <v>0</v>
      </c>
      <c r="AC162" s="122">
        <f>AC158*AJ151</f>
        <v>0</v>
      </c>
      <c r="AD162" s="122">
        <f>AD158*AJ152</f>
        <v>2</v>
      </c>
      <c r="AE162" s="122">
        <f>AE158*AJ153</f>
        <v>8</v>
      </c>
      <c r="AF162" s="122">
        <f>AF158*AJ154</f>
        <v>0</v>
      </c>
      <c r="AG162" s="122">
        <f>AG158*AJ155</f>
        <v>0</v>
      </c>
      <c r="AH162" s="122">
        <f>AH158*AJ156</f>
        <v>594</v>
      </c>
      <c r="AI162" s="122">
        <f>AI158*AJ157</f>
        <v>4</v>
      </c>
      <c r="AJ162" s="123">
        <f>SUM(AB162:AI162)</f>
        <v>608</v>
      </c>
      <c r="AK162" s="128"/>
      <c r="AL162" s="123"/>
      <c r="AM162" s="44"/>
    </row>
    <row r="163" spans="1:39" ht="30" thickTop="1" thickBot="1">
      <c r="A163" s="13"/>
      <c r="B163" s="115"/>
      <c r="C163" s="115"/>
      <c r="D163" s="115"/>
      <c r="E163" s="115"/>
      <c r="F163" s="115"/>
      <c r="G163" s="115"/>
      <c r="H163" s="115"/>
      <c r="I163" t="s">
        <v>110</v>
      </c>
      <c r="J163" s="102">
        <f>L160</f>
        <v>0.125</v>
      </c>
      <c r="K163" s="104">
        <f>(J163-J164)/(1-J164)</f>
        <v>4.4776119402985072E-2</v>
      </c>
      <c r="L163" s="44"/>
      <c r="P163" s="100"/>
      <c r="Q163" s="100"/>
      <c r="R163" s="100"/>
      <c r="S163" s="100"/>
      <c r="T163" s="100"/>
      <c r="U163" s="111"/>
      <c r="V163" s="132"/>
      <c r="W163" s="133"/>
      <c r="AA163" s="142" t="s">
        <v>134</v>
      </c>
      <c r="AB163" s="124">
        <f>(AB158*$AJ150)+(AB158*$AJ151)+(AB158*$AJ152)+(AB158*$AJ153)+(AB158*$AJ154)+(AB158*$AJ155)+(AB158*$AJ156)+(AB158*$AJ157)</f>
        <v>0</v>
      </c>
      <c r="AC163" s="124">
        <f t="shared" ref="AC163:AH163" si="103">(AC158*$AJ150)+(AC158*$AJ151)+(AC158*$AJ152)+(AC158*$AJ153)+(AC158*$AJ154)+(AC158*$AJ155)+(AC158*$AJ156)+(AC158*$AJ157)</f>
        <v>0</v>
      </c>
      <c r="AD163" s="124">
        <f t="shared" si="103"/>
        <v>64</v>
      </c>
      <c r="AE163" s="124">
        <f t="shared" si="103"/>
        <v>128</v>
      </c>
      <c r="AF163" s="124">
        <f t="shared" si="103"/>
        <v>64</v>
      </c>
      <c r="AG163" s="124">
        <f t="shared" si="103"/>
        <v>0</v>
      </c>
      <c r="AH163" s="124">
        <f t="shared" si="103"/>
        <v>704</v>
      </c>
      <c r="AI163" s="124">
        <f>(AI158*$AJ150)+(AI158*$AJ151)+(AI158*$AJ152)+(AI158*$AJ153)+(AI158*$AJ154)+(AI158*$AJ155)+(AI158*$AJ156)+(AI158*$AJ157)</f>
        <v>64</v>
      </c>
      <c r="AJ163" s="125">
        <f>SUM(AB163:AI163)</f>
        <v>1024</v>
      </c>
      <c r="AK163" s="127"/>
      <c r="AL163" s="125" t="s">
        <v>32</v>
      </c>
      <c r="AM163" s="44"/>
    </row>
    <row r="164" spans="1:39" ht="22" thickTop="1">
      <c r="A164" s="187"/>
      <c r="B164" s="115"/>
      <c r="C164" s="115"/>
      <c r="D164" s="115"/>
      <c r="E164" s="115"/>
      <c r="F164" s="115"/>
      <c r="G164" s="115"/>
      <c r="H164" s="115"/>
      <c r="I164" t="s">
        <v>111</v>
      </c>
      <c r="J164" s="103">
        <f>I161/I162</f>
        <v>8.3984375E-2</v>
      </c>
      <c r="K164" s="101"/>
      <c r="P164" s="100"/>
      <c r="Q164" s="100"/>
      <c r="R164" s="100"/>
      <c r="S164" s="100"/>
      <c r="T164" s="100"/>
      <c r="U164" s="111"/>
      <c r="V164" s="132"/>
      <c r="W164" s="101"/>
      <c r="AA164" s="187"/>
      <c r="AB164" s="13"/>
      <c r="AC164" s="115"/>
      <c r="AD164" s="115"/>
      <c r="AE164" s="115"/>
      <c r="AF164" s="115"/>
      <c r="AG164" s="115"/>
      <c r="AJ164" t="s">
        <v>110</v>
      </c>
      <c r="AK164" s="102">
        <f>AM161</f>
        <v>0.8125</v>
      </c>
      <c r="AL164" s="104">
        <f>(AK164-AK165)/(1-AK165)</f>
        <v>0.53846153846153844</v>
      </c>
      <c r="AM164" s="44"/>
    </row>
    <row r="165" spans="1:39" ht="21">
      <c r="B165" s="126"/>
      <c r="C165" s="126"/>
      <c r="D165" s="126"/>
      <c r="E165" s="126"/>
      <c r="F165" s="126"/>
      <c r="G165" s="126"/>
      <c r="H165" s="126"/>
      <c r="I165" s="134"/>
      <c r="J165" s="135"/>
      <c r="K165" s="137"/>
      <c r="AA165" s="59"/>
      <c r="AB165" s="187"/>
      <c r="AC165" s="115"/>
      <c r="AD165" s="115"/>
      <c r="AE165" s="115"/>
      <c r="AF165" s="115"/>
      <c r="AG165" s="115"/>
      <c r="AJ165" t="s">
        <v>111</v>
      </c>
      <c r="AK165" s="103">
        <f>AJ162/AJ163</f>
        <v>0.59375</v>
      </c>
      <c r="AL165" s="101"/>
    </row>
    <row r="166" spans="1:39" ht="21">
      <c r="B166" s="126"/>
      <c r="C166" s="126"/>
      <c r="D166" s="126"/>
      <c r="E166" s="126"/>
      <c r="F166" s="126"/>
      <c r="G166" s="126"/>
      <c r="H166" s="126"/>
      <c r="I166" s="137"/>
      <c r="J166" s="134"/>
      <c r="K166" s="135"/>
      <c r="AB166" s="126"/>
      <c r="AC166" s="126"/>
      <c r="AD166" s="126"/>
      <c r="AE166" s="126"/>
      <c r="AF166" s="126"/>
      <c r="AG166" s="126"/>
      <c r="AH166" s="126"/>
      <c r="AI166" s="126"/>
      <c r="AJ166" s="137"/>
      <c r="AK166" s="137"/>
      <c r="AL166" s="137"/>
    </row>
    <row r="167" spans="1:39" ht="21">
      <c r="B167" s="126"/>
      <c r="C167" s="126"/>
      <c r="D167" s="126"/>
      <c r="E167" s="126"/>
      <c r="F167" s="126"/>
      <c r="G167" s="126"/>
      <c r="H167" s="126"/>
      <c r="I167" s="137"/>
      <c r="J167" s="138"/>
      <c r="K167" s="139"/>
      <c r="AB167" s="126"/>
      <c r="AC167" s="126"/>
      <c r="AD167" s="126"/>
      <c r="AE167" s="126"/>
      <c r="AF167" s="126"/>
      <c r="AG167" s="126"/>
      <c r="AH167" s="126"/>
      <c r="AI167" s="126"/>
      <c r="AJ167" s="137"/>
      <c r="AK167" s="137"/>
      <c r="AL167" s="137"/>
    </row>
    <row r="168" spans="1:39" ht="21">
      <c r="A168" s="191" t="s">
        <v>58</v>
      </c>
      <c r="B168" s="191"/>
      <c r="C168" s="191"/>
      <c r="D168" s="191"/>
      <c r="E168" s="191"/>
      <c r="F168" s="191"/>
      <c r="G168" s="191"/>
      <c r="H168" s="191"/>
      <c r="I168" s="191"/>
      <c r="J168" s="191"/>
      <c r="K168" s="191"/>
      <c r="L168" s="5"/>
      <c r="M168" s="117"/>
      <c r="N168" s="5"/>
      <c r="O168" s="191" t="s">
        <v>58</v>
      </c>
      <c r="P168" s="191"/>
      <c r="Q168" s="191"/>
      <c r="R168" s="191"/>
      <c r="S168" s="191"/>
      <c r="T168" s="191"/>
      <c r="U168" s="191"/>
      <c r="V168" s="191"/>
      <c r="W168" s="191"/>
      <c r="X168" s="191"/>
      <c r="AA168" s="191" t="s">
        <v>58</v>
      </c>
      <c r="AB168" s="191"/>
      <c r="AC168" s="191"/>
      <c r="AD168" s="191"/>
      <c r="AE168" s="191"/>
      <c r="AF168" s="191"/>
      <c r="AG168" s="191"/>
      <c r="AH168" s="191"/>
      <c r="AI168" s="191"/>
      <c r="AJ168" s="191"/>
      <c r="AK168" s="191"/>
      <c r="AL168" s="5"/>
      <c r="AM168" s="5"/>
    </row>
    <row r="169" spans="1:39" ht="21">
      <c r="A169" s="5"/>
      <c r="B169" s="5"/>
      <c r="C169" s="5"/>
      <c r="D169" s="5"/>
      <c r="E169" s="5"/>
      <c r="F169" s="5"/>
      <c r="G169" s="5"/>
      <c r="H169" s="5"/>
      <c r="I169" s="5"/>
      <c r="K169" s="5"/>
      <c r="L169" s="5"/>
      <c r="M169" s="117"/>
      <c r="N169" s="5"/>
      <c r="O169" s="5"/>
      <c r="P169" s="5"/>
      <c r="Q169" s="5"/>
      <c r="R169" s="5"/>
      <c r="S169" s="5"/>
      <c r="T169" s="5"/>
      <c r="U169" s="5"/>
      <c r="V169" s="5"/>
      <c r="W169" s="5"/>
      <c r="X169" s="5"/>
      <c r="AA169" s="5"/>
      <c r="AB169" s="5"/>
      <c r="AC169" s="5"/>
      <c r="AD169" s="5"/>
      <c r="AE169" s="5"/>
      <c r="AF169" s="5"/>
      <c r="AG169" s="5"/>
      <c r="AH169" s="5"/>
      <c r="AI169" s="5"/>
      <c r="AJ169" s="5"/>
      <c r="AK169" s="5"/>
      <c r="AL169" s="5"/>
      <c r="AM169" s="5"/>
    </row>
    <row r="170" spans="1:39" ht="17" thickBot="1">
      <c r="A170" s="188" t="s">
        <v>8</v>
      </c>
      <c r="B170" s="188"/>
      <c r="C170" s="188"/>
      <c r="D170" s="188"/>
      <c r="E170" s="188"/>
      <c r="F170" s="188"/>
      <c r="G170" s="188"/>
      <c r="H170" s="188"/>
      <c r="I170" s="188"/>
      <c r="J170" s="188"/>
      <c r="K170" s="188"/>
      <c r="L170" s="6"/>
      <c r="M170" s="112"/>
      <c r="O170" s="188" t="s">
        <v>8</v>
      </c>
      <c r="P170" s="188"/>
      <c r="Q170" s="188"/>
      <c r="R170" s="188"/>
      <c r="S170" s="188"/>
      <c r="T170" s="188"/>
      <c r="U170" s="188"/>
      <c r="V170" s="188"/>
      <c r="W170" s="188"/>
      <c r="X170" s="190"/>
      <c r="AA170" s="188" t="s">
        <v>8</v>
      </c>
      <c r="AB170" s="188"/>
      <c r="AC170" s="188"/>
      <c r="AD170" s="188"/>
      <c r="AE170" s="188"/>
      <c r="AF170" s="188"/>
      <c r="AG170" s="188"/>
      <c r="AH170" s="188"/>
      <c r="AI170" s="188"/>
      <c r="AJ170" s="188"/>
      <c r="AK170" s="188"/>
      <c r="AL170" s="6"/>
    </row>
    <row r="171" spans="1:39" ht="91" thickBot="1">
      <c r="A171" s="8" t="s">
        <v>59</v>
      </c>
      <c r="B171" s="9" t="s">
        <v>10</v>
      </c>
      <c r="C171" s="9" t="s">
        <v>11</v>
      </c>
      <c r="D171" s="9" t="s">
        <v>12</v>
      </c>
      <c r="E171" s="9" t="s">
        <v>13</v>
      </c>
      <c r="F171" s="9" t="s">
        <v>14</v>
      </c>
      <c r="G171" s="9" t="s">
        <v>15</v>
      </c>
      <c r="H171" s="9" t="s">
        <v>16</v>
      </c>
      <c r="I171" s="10" t="s">
        <v>17</v>
      </c>
      <c r="J171" s="11" t="s">
        <v>18</v>
      </c>
      <c r="K171" s="12" t="s">
        <v>19</v>
      </c>
      <c r="L171" s="13"/>
      <c r="M171" s="114"/>
      <c r="O171" s="8" t="s">
        <v>60</v>
      </c>
      <c r="P171" s="9" t="s">
        <v>10</v>
      </c>
      <c r="Q171" s="9" t="s">
        <v>11</v>
      </c>
      <c r="R171" s="9" t="s">
        <v>21</v>
      </c>
      <c r="S171" s="9" t="s">
        <v>22</v>
      </c>
      <c r="T171" s="9" t="s">
        <v>16</v>
      </c>
      <c r="U171" s="10" t="s">
        <v>17</v>
      </c>
      <c r="V171" s="15" t="s">
        <v>18</v>
      </c>
      <c r="W171" s="12" t="s">
        <v>19</v>
      </c>
      <c r="X171" s="16"/>
      <c r="AA171" s="8" t="s">
        <v>61</v>
      </c>
      <c r="AB171" s="17" t="s">
        <v>24</v>
      </c>
      <c r="AC171" s="17" t="s">
        <v>25</v>
      </c>
      <c r="AD171" s="17" t="s">
        <v>26</v>
      </c>
      <c r="AE171" s="17" t="s">
        <v>27</v>
      </c>
      <c r="AF171" s="17" t="s">
        <v>28</v>
      </c>
      <c r="AG171" s="17" t="s">
        <v>29</v>
      </c>
      <c r="AH171" s="17" t="s">
        <v>30</v>
      </c>
      <c r="AI171" s="17" t="s">
        <v>16</v>
      </c>
      <c r="AJ171" s="18" t="s">
        <v>17</v>
      </c>
      <c r="AK171" s="18" t="s">
        <v>18</v>
      </c>
      <c r="AL171" s="19" t="s">
        <v>19</v>
      </c>
    </row>
    <row r="172" spans="1:39" ht="56">
      <c r="A172" s="20" t="s">
        <v>10</v>
      </c>
      <c r="B172" s="13"/>
      <c r="C172" s="13"/>
      <c r="D172" s="13"/>
      <c r="E172" s="13">
        <v>1</v>
      </c>
      <c r="F172" s="13"/>
      <c r="G172" s="13"/>
      <c r="H172" s="13"/>
      <c r="I172" s="21">
        <f t="shared" ref="I172:I179" si="104">SUM(B172:H172)</f>
        <v>1</v>
      </c>
      <c r="J172" s="22">
        <f>1-K172</f>
        <v>1</v>
      </c>
      <c r="K172" s="23">
        <f>0/8</f>
        <v>0</v>
      </c>
      <c r="L172" s="21"/>
      <c r="M172" s="115"/>
      <c r="O172" s="20" t="s">
        <v>10</v>
      </c>
      <c r="P172" s="13"/>
      <c r="Q172" s="13"/>
      <c r="R172" s="13">
        <v>1</v>
      </c>
      <c r="S172" s="13"/>
      <c r="T172" s="13"/>
      <c r="U172" s="21">
        <f t="shared" ref="U172:U177" si="105">SUM(P172:T172)</f>
        <v>1</v>
      </c>
      <c r="V172" s="25">
        <f>1-W172</f>
        <v>1</v>
      </c>
      <c r="W172" s="23">
        <f>P172/U172</f>
        <v>0</v>
      </c>
      <c r="X172" s="21"/>
      <c r="AA172" s="26" t="s">
        <v>24</v>
      </c>
      <c r="AB172" s="27">
        <v>1</v>
      </c>
      <c r="AC172" s="28"/>
      <c r="AD172" s="28"/>
      <c r="AE172" s="28"/>
      <c r="AF172" s="28"/>
      <c r="AG172" s="28"/>
      <c r="AH172" s="28"/>
      <c r="AJ172" s="29">
        <f t="shared" ref="AJ172:AJ178" si="106">SUM(AB172:AH172)</f>
        <v>1</v>
      </c>
      <c r="AK172" s="30">
        <f>1-AL172</f>
        <v>0</v>
      </c>
      <c r="AL172" s="31">
        <f>AB172/AJ172</f>
        <v>1</v>
      </c>
    </row>
    <row r="173" spans="1:39" ht="45">
      <c r="A173" s="20" t="s">
        <v>11</v>
      </c>
      <c r="B173" s="13"/>
      <c r="C173" s="13"/>
      <c r="D173" s="13"/>
      <c r="E173" s="13"/>
      <c r="F173" s="13"/>
      <c r="G173" s="13"/>
      <c r="H173" s="13"/>
      <c r="I173" s="21">
        <f t="shared" si="104"/>
        <v>0</v>
      </c>
      <c r="J173" s="22">
        <f t="shared" ref="J173:J178" si="107">1-K173</f>
        <v>0</v>
      </c>
      <c r="K173" s="23">
        <v>1</v>
      </c>
      <c r="L173" s="21"/>
      <c r="M173" s="115"/>
      <c r="O173" s="20" t="s">
        <v>11</v>
      </c>
      <c r="P173" s="13"/>
      <c r="Q173" s="13"/>
      <c r="R173" s="13"/>
      <c r="S173" s="13"/>
      <c r="T173" s="13"/>
      <c r="U173" s="21">
        <f t="shared" si="105"/>
        <v>0</v>
      </c>
      <c r="V173" s="25">
        <f t="shared" ref="V173:V176" si="108">1-W173</f>
        <v>0</v>
      </c>
      <c r="W173" s="23">
        <v>1</v>
      </c>
      <c r="X173" s="21"/>
      <c r="AA173" s="32" t="s">
        <v>25</v>
      </c>
      <c r="AB173" s="16"/>
      <c r="AC173" s="13">
        <v>38</v>
      </c>
      <c r="AD173" s="13"/>
      <c r="AE173" s="13"/>
      <c r="AF173" s="13"/>
      <c r="AG173" s="13"/>
      <c r="AH173" s="13"/>
      <c r="AJ173" s="21">
        <f t="shared" si="106"/>
        <v>38</v>
      </c>
      <c r="AK173" s="25">
        <f>1-AL173</f>
        <v>0</v>
      </c>
      <c r="AL173" s="23">
        <f>AC173/AJ173</f>
        <v>1</v>
      </c>
    </row>
    <row r="174" spans="1:39" ht="45">
      <c r="A174" s="20" t="s">
        <v>12</v>
      </c>
      <c r="B174" s="13"/>
      <c r="C174" s="13"/>
      <c r="D174" s="13">
        <v>1</v>
      </c>
      <c r="E174" s="13"/>
      <c r="F174" s="13"/>
      <c r="G174" s="13"/>
      <c r="H174" s="13"/>
      <c r="I174" s="21">
        <f t="shared" si="104"/>
        <v>1</v>
      </c>
      <c r="J174" s="22">
        <f t="shared" si="107"/>
        <v>0</v>
      </c>
      <c r="K174" s="23">
        <f>D174/I174</f>
        <v>1</v>
      </c>
      <c r="L174" s="21"/>
      <c r="M174" s="115"/>
      <c r="O174" s="20" t="s">
        <v>21</v>
      </c>
      <c r="P174" s="13"/>
      <c r="Q174" s="13"/>
      <c r="R174" s="13">
        <v>25</v>
      </c>
      <c r="S174" s="13">
        <v>2</v>
      </c>
      <c r="T174" s="13"/>
      <c r="U174" s="21">
        <f t="shared" si="105"/>
        <v>27</v>
      </c>
      <c r="V174" s="25">
        <f t="shared" si="108"/>
        <v>7.407407407407407E-2</v>
      </c>
      <c r="W174" s="23">
        <f>R174/U174</f>
        <v>0.92592592592592593</v>
      </c>
      <c r="X174" s="21"/>
      <c r="AA174" s="32" t="s">
        <v>26</v>
      </c>
      <c r="AB174" s="16">
        <v>29</v>
      </c>
      <c r="AC174" s="13"/>
      <c r="AD174" s="13">
        <v>19</v>
      </c>
      <c r="AE174" s="13"/>
      <c r="AF174" s="13"/>
      <c r="AG174" s="13"/>
      <c r="AH174" s="13"/>
      <c r="AJ174" s="21">
        <f t="shared" si="106"/>
        <v>48</v>
      </c>
      <c r="AK174" s="25">
        <f t="shared" ref="AK174:AK179" si="109">1-AL174</f>
        <v>0.60416666666666674</v>
      </c>
      <c r="AL174" s="23">
        <f>AD174/AJ174</f>
        <v>0.39583333333333331</v>
      </c>
    </row>
    <row r="175" spans="1:39" ht="42">
      <c r="A175" s="20" t="s">
        <v>13</v>
      </c>
      <c r="B175" s="13"/>
      <c r="C175" s="13"/>
      <c r="D175" s="13">
        <v>1</v>
      </c>
      <c r="E175" s="13">
        <v>23</v>
      </c>
      <c r="F175" s="13">
        <v>2</v>
      </c>
      <c r="G175" s="13"/>
      <c r="H175" s="13"/>
      <c r="I175" s="21">
        <f t="shared" si="104"/>
        <v>26</v>
      </c>
      <c r="J175" s="22">
        <f t="shared" si="107"/>
        <v>0.11538461538461542</v>
      </c>
      <c r="K175" s="23">
        <f>E175/I175</f>
        <v>0.88461538461538458</v>
      </c>
      <c r="L175" s="21"/>
      <c r="M175" s="115"/>
      <c r="O175" s="20" t="s">
        <v>22</v>
      </c>
      <c r="P175" s="13"/>
      <c r="Q175" s="13"/>
      <c r="R175" s="13">
        <v>10</v>
      </c>
      <c r="S175" s="13">
        <v>57</v>
      </c>
      <c r="T175" s="13"/>
      <c r="U175" s="21">
        <f t="shared" si="105"/>
        <v>67</v>
      </c>
      <c r="V175" s="25">
        <f t="shared" si="108"/>
        <v>0.14925373134328357</v>
      </c>
      <c r="W175" s="23">
        <f>S175/U175</f>
        <v>0.85074626865671643</v>
      </c>
      <c r="X175" s="21"/>
      <c r="AA175" s="32" t="s">
        <v>27</v>
      </c>
      <c r="AB175" s="16"/>
      <c r="AC175" s="13"/>
      <c r="AD175" s="13"/>
      <c r="AE175" s="13"/>
      <c r="AF175" s="13"/>
      <c r="AG175" s="13"/>
      <c r="AH175" s="13"/>
      <c r="AJ175" s="21">
        <f t="shared" si="106"/>
        <v>0</v>
      </c>
      <c r="AK175" s="25">
        <f t="shared" si="109"/>
        <v>0</v>
      </c>
      <c r="AL175" s="23">
        <v>1</v>
      </c>
    </row>
    <row r="176" spans="1:39" ht="45">
      <c r="A176" s="20" t="s">
        <v>14</v>
      </c>
      <c r="B176" s="13"/>
      <c r="C176" s="13"/>
      <c r="D176" s="13"/>
      <c r="E176" s="13">
        <v>10</v>
      </c>
      <c r="F176" s="13">
        <v>57</v>
      </c>
      <c r="G176" s="13"/>
      <c r="H176" s="13"/>
      <c r="I176" s="21">
        <f t="shared" si="104"/>
        <v>67</v>
      </c>
      <c r="J176" s="22">
        <f t="shared" si="107"/>
        <v>0.14925373134328357</v>
      </c>
      <c r="K176" s="23">
        <f>F176/I176</f>
        <v>0.85074626865671643</v>
      </c>
      <c r="L176" s="21"/>
      <c r="M176" s="115"/>
      <c r="O176" s="20" t="s">
        <v>16</v>
      </c>
      <c r="P176" s="13"/>
      <c r="Q176" s="13"/>
      <c r="R176" s="13">
        <v>2</v>
      </c>
      <c r="S176" s="13">
        <v>2</v>
      </c>
      <c r="T176" s="13"/>
      <c r="U176" s="21">
        <f t="shared" si="105"/>
        <v>4</v>
      </c>
      <c r="V176" s="25">
        <f t="shared" si="108"/>
        <v>1</v>
      </c>
      <c r="W176" s="23">
        <f>T176/U176</f>
        <v>0</v>
      </c>
      <c r="X176" s="21"/>
      <c r="AA176" s="32" t="s">
        <v>28</v>
      </c>
      <c r="AB176" s="16">
        <v>1</v>
      </c>
      <c r="AC176" s="13"/>
      <c r="AD176" s="13"/>
      <c r="AE176" s="13"/>
      <c r="AF176" s="13"/>
      <c r="AG176" s="13"/>
      <c r="AH176" s="13"/>
      <c r="AJ176" s="21">
        <f t="shared" si="106"/>
        <v>1</v>
      </c>
      <c r="AK176" s="25">
        <f t="shared" si="109"/>
        <v>1</v>
      </c>
      <c r="AL176" s="23">
        <f>AF176/AJ176</f>
        <v>0</v>
      </c>
    </row>
    <row r="177" spans="1:39" ht="30">
      <c r="A177" s="20" t="s">
        <v>15</v>
      </c>
      <c r="B177" s="13"/>
      <c r="C177" s="13"/>
      <c r="D177" s="13"/>
      <c r="E177" s="13"/>
      <c r="F177" s="13"/>
      <c r="G177" s="13"/>
      <c r="H177" s="13"/>
      <c r="I177" s="21">
        <f t="shared" si="104"/>
        <v>0</v>
      </c>
      <c r="J177" s="22">
        <f t="shared" si="107"/>
        <v>0</v>
      </c>
      <c r="K177" s="23">
        <v>1</v>
      </c>
      <c r="L177" s="21"/>
      <c r="M177" s="115"/>
      <c r="O177" s="33" t="s">
        <v>17</v>
      </c>
      <c r="P177" s="21">
        <f>SUM(P172:P176)</f>
        <v>0</v>
      </c>
      <c r="Q177" s="21">
        <f>SUM(Q172:Q176)</f>
        <v>0</v>
      </c>
      <c r="R177" s="21">
        <f>SUM(R172:R176)</f>
        <v>38</v>
      </c>
      <c r="S177" s="21">
        <f>SUM(S172:S176)</f>
        <v>61</v>
      </c>
      <c r="T177" s="21">
        <f>SUM(T172:T176)</f>
        <v>0</v>
      </c>
      <c r="U177" s="21">
        <f t="shared" si="105"/>
        <v>99</v>
      </c>
      <c r="V177" s="21"/>
      <c r="W177" s="34"/>
      <c r="X177" s="21"/>
      <c r="AA177" s="32" t="s">
        <v>29</v>
      </c>
      <c r="AB177" s="16">
        <v>1</v>
      </c>
      <c r="AC177" s="13"/>
      <c r="AD177" s="13"/>
      <c r="AE177" s="13"/>
      <c r="AF177" s="13"/>
      <c r="AG177" s="13"/>
      <c r="AH177" s="13"/>
      <c r="AJ177" s="21">
        <f t="shared" si="106"/>
        <v>1</v>
      </c>
      <c r="AK177" s="25">
        <f t="shared" si="109"/>
        <v>1</v>
      </c>
      <c r="AL177" s="23">
        <f>AG177/AJ177</f>
        <v>0</v>
      </c>
    </row>
    <row r="178" spans="1:39" ht="45">
      <c r="A178" s="20" t="s">
        <v>16</v>
      </c>
      <c r="B178" s="13"/>
      <c r="C178" s="13"/>
      <c r="D178" s="13"/>
      <c r="E178" s="13">
        <v>2</v>
      </c>
      <c r="F178" s="13">
        <v>2</v>
      </c>
      <c r="G178" s="13"/>
      <c r="H178" s="13"/>
      <c r="I178" s="21">
        <f t="shared" si="104"/>
        <v>4</v>
      </c>
      <c r="J178" s="22">
        <f t="shared" si="107"/>
        <v>1</v>
      </c>
      <c r="K178" s="23">
        <f>H178/I178</f>
        <v>0</v>
      </c>
      <c r="L178" s="21"/>
      <c r="M178" s="115"/>
      <c r="O178" s="33" t="s">
        <v>31</v>
      </c>
      <c r="P178" s="25">
        <f>1-P179</f>
        <v>0</v>
      </c>
      <c r="Q178" s="25">
        <f t="shared" ref="Q178:T178" si="110">1-Q179</f>
        <v>0</v>
      </c>
      <c r="R178" s="25">
        <f t="shared" si="110"/>
        <v>0.34210526315789469</v>
      </c>
      <c r="S178" s="25">
        <f t="shared" si="110"/>
        <v>6.557377049180324E-2</v>
      </c>
      <c r="T178" s="25">
        <f t="shared" si="110"/>
        <v>0</v>
      </c>
      <c r="U178" s="13"/>
      <c r="V178" s="35" t="s">
        <v>32</v>
      </c>
      <c r="W178" s="36">
        <f>W183</f>
        <v>0.64099829351535842</v>
      </c>
      <c r="X178" s="21"/>
      <c r="AA178" s="32" t="s">
        <v>30</v>
      </c>
      <c r="AB178" s="16">
        <v>1</v>
      </c>
      <c r="AC178" s="13"/>
      <c r="AD178" s="13">
        <v>1</v>
      </c>
      <c r="AE178" s="13"/>
      <c r="AF178" s="13"/>
      <c r="AG178" s="13"/>
      <c r="AH178" s="13"/>
      <c r="AJ178" s="21">
        <f t="shared" si="106"/>
        <v>2</v>
      </c>
      <c r="AK178" s="25">
        <f t="shared" si="109"/>
        <v>1</v>
      </c>
      <c r="AL178" s="23">
        <f>AH178/AJ178</f>
        <v>0</v>
      </c>
    </row>
    <row r="179" spans="1:39" ht="29" thickBot="1">
      <c r="A179" s="33" t="s">
        <v>17</v>
      </c>
      <c r="B179" s="21">
        <f t="shared" ref="B179:H179" si="111">SUM(B172:B178)</f>
        <v>0</v>
      </c>
      <c r="C179" s="21">
        <f t="shared" si="111"/>
        <v>0</v>
      </c>
      <c r="D179" s="21">
        <f t="shared" si="111"/>
        <v>2</v>
      </c>
      <c r="E179" s="21">
        <f t="shared" si="111"/>
        <v>36</v>
      </c>
      <c r="F179" s="21">
        <f t="shared" si="111"/>
        <v>61</v>
      </c>
      <c r="G179" s="21">
        <f t="shared" si="111"/>
        <v>0</v>
      </c>
      <c r="H179" s="21">
        <f t="shared" si="111"/>
        <v>0</v>
      </c>
      <c r="I179" s="21">
        <f t="shared" si="104"/>
        <v>99</v>
      </c>
      <c r="J179" s="37"/>
      <c r="K179" s="34"/>
      <c r="L179" s="21"/>
      <c r="M179" s="115"/>
      <c r="O179" s="38" t="s">
        <v>33</v>
      </c>
      <c r="P179" s="39">
        <v>1</v>
      </c>
      <c r="Q179" s="40">
        <v>1</v>
      </c>
      <c r="R179" s="40">
        <f>R174/R177</f>
        <v>0.65789473684210531</v>
      </c>
      <c r="S179" s="40">
        <f>S175/S177</f>
        <v>0.93442622950819676</v>
      </c>
      <c r="T179" s="39">
        <v>1</v>
      </c>
      <c r="U179" s="41"/>
      <c r="V179" s="42" t="s">
        <v>34</v>
      </c>
      <c r="W179" s="43">
        <f>X180</f>
        <v>0.82828282828282829</v>
      </c>
      <c r="X179" s="44"/>
      <c r="AA179" s="60" t="s">
        <v>16</v>
      </c>
      <c r="AB179" s="24">
        <v>3</v>
      </c>
      <c r="AC179" s="24"/>
      <c r="AD179" s="24">
        <v>2</v>
      </c>
      <c r="AI179" s="24">
        <v>3</v>
      </c>
      <c r="AJ179" s="21">
        <f>SUM(AB179:AI179)</f>
        <v>8</v>
      </c>
      <c r="AK179" s="25">
        <f t="shared" si="109"/>
        <v>0.625</v>
      </c>
      <c r="AL179" s="23">
        <f>AI179/AJ179</f>
        <v>0.375</v>
      </c>
    </row>
    <row r="180" spans="1:39" ht="28">
      <c r="A180" s="33" t="s">
        <v>31</v>
      </c>
      <c r="B180" s="25">
        <f>1-B181</f>
        <v>0</v>
      </c>
      <c r="C180" s="25">
        <f t="shared" ref="C180:H180" si="112">1-C181</f>
        <v>0</v>
      </c>
      <c r="D180" s="25">
        <f t="shared" si="112"/>
        <v>0.5</v>
      </c>
      <c r="E180" s="25">
        <f t="shared" si="112"/>
        <v>0.36111111111111116</v>
      </c>
      <c r="F180" s="25">
        <f t="shared" si="112"/>
        <v>6.557377049180324E-2</v>
      </c>
      <c r="G180" s="25">
        <f t="shared" si="112"/>
        <v>0</v>
      </c>
      <c r="H180" s="25">
        <f t="shared" si="112"/>
        <v>0</v>
      </c>
      <c r="I180" s="13"/>
      <c r="J180" s="46" t="s">
        <v>32</v>
      </c>
      <c r="K180" s="36">
        <f>K185</f>
        <v>0.62688442211055284</v>
      </c>
      <c r="L180" s="21"/>
      <c r="M180" s="115"/>
      <c r="O180" s="129" t="s">
        <v>136</v>
      </c>
      <c r="V180" s="4"/>
      <c r="X180" s="50">
        <f>SUM(P172,Q173,R174,S175,T176)/U177</f>
        <v>0.82828282828282829</v>
      </c>
      <c r="AA180" s="33" t="s">
        <v>17</v>
      </c>
      <c r="AB180" s="64">
        <f>SUM(AB172:AB179)</f>
        <v>36</v>
      </c>
      <c r="AC180" s="21">
        <f t="shared" ref="AC180:AI180" si="113">SUM(AC172:AC179)</f>
        <v>38</v>
      </c>
      <c r="AD180" s="21">
        <f t="shared" si="113"/>
        <v>22</v>
      </c>
      <c r="AE180" s="21">
        <f t="shared" si="113"/>
        <v>0</v>
      </c>
      <c r="AF180" s="21">
        <f t="shared" si="113"/>
        <v>0</v>
      </c>
      <c r="AG180" s="21">
        <f t="shared" si="113"/>
        <v>0</v>
      </c>
      <c r="AH180" s="21">
        <f t="shared" si="113"/>
        <v>0</v>
      </c>
      <c r="AI180" s="21">
        <f t="shared" si="113"/>
        <v>3</v>
      </c>
      <c r="AJ180" s="21">
        <f>SUM(AB180:AI180)</f>
        <v>99</v>
      </c>
      <c r="AL180" s="51"/>
    </row>
    <row r="181" spans="1:39" ht="29" thickBot="1">
      <c r="A181" s="38" t="s">
        <v>33</v>
      </c>
      <c r="B181" s="39">
        <v>1</v>
      </c>
      <c r="C181" s="40">
        <v>1</v>
      </c>
      <c r="D181" s="40">
        <f>D174/D179</f>
        <v>0.5</v>
      </c>
      <c r="E181" s="40">
        <f>E175/E179</f>
        <v>0.63888888888888884</v>
      </c>
      <c r="F181" s="40">
        <f>F176/F179</f>
        <v>0.93442622950819676</v>
      </c>
      <c r="G181" s="40">
        <v>1</v>
      </c>
      <c r="H181" s="39">
        <v>1</v>
      </c>
      <c r="I181" s="41"/>
      <c r="J181" s="52" t="s">
        <v>34</v>
      </c>
      <c r="K181" s="43">
        <f>L182</f>
        <v>0.81818181818181823</v>
      </c>
      <c r="L181" s="44"/>
      <c r="M181" s="116"/>
      <c r="O181" s="141" t="s">
        <v>135</v>
      </c>
      <c r="P181" s="122">
        <f>P177*U172</f>
        <v>0</v>
      </c>
      <c r="Q181" s="122">
        <f>Q177*U173</f>
        <v>0</v>
      </c>
      <c r="R181" s="122">
        <f>R177*U174</f>
        <v>1026</v>
      </c>
      <c r="S181" s="122">
        <f>S177*U175</f>
        <v>4087</v>
      </c>
      <c r="T181" s="122">
        <f>T177*U176</f>
        <v>0</v>
      </c>
      <c r="U181" s="123">
        <f>SUM(N181:T181)</f>
        <v>5113</v>
      </c>
      <c r="V181" s="128"/>
      <c r="W181" s="123"/>
      <c r="X181" s="44"/>
      <c r="AA181" s="33" t="s">
        <v>35</v>
      </c>
      <c r="AB181" s="53">
        <f>1-AB182</f>
        <v>0.97222222222222221</v>
      </c>
      <c r="AC181" s="54">
        <f>1-AC182</f>
        <v>0</v>
      </c>
      <c r="AD181" s="54">
        <f t="shared" ref="AD181:AI181" si="114">1-AD182</f>
        <v>0.13636363636363635</v>
      </c>
      <c r="AE181" s="54">
        <f t="shared" si="114"/>
        <v>0</v>
      </c>
      <c r="AF181" s="54">
        <f t="shared" si="114"/>
        <v>0</v>
      </c>
      <c r="AG181" s="54">
        <f t="shared" si="114"/>
        <v>0</v>
      </c>
      <c r="AH181" s="54">
        <f t="shared" si="114"/>
        <v>0</v>
      </c>
      <c r="AI181" s="54">
        <f t="shared" si="114"/>
        <v>0</v>
      </c>
      <c r="AK181" s="35" t="s">
        <v>32</v>
      </c>
      <c r="AL181" s="36">
        <f>AL186</f>
        <v>0.48045850020715364</v>
      </c>
    </row>
    <row r="182" spans="1:39" ht="33" thickBot="1">
      <c r="A182" s="129" t="s">
        <v>136</v>
      </c>
      <c r="L182" s="50">
        <f>SUM(B172,C173,D174,E175,F176,G177,H178)/I179</f>
        <v>0.81818181818181823</v>
      </c>
      <c r="M182" s="113"/>
      <c r="O182" s="142" t="s">
        <v>134</v>
      </c>
      <c r="P182" s="124">
        <f>(P177*$U172)+(P177*$U173)+(P177*$U174)+(P177*$U175)+(P177*$U176)</f>
        <v>0</v>
      </c>
      <c r="Q182" s="124">
        <f t="shared" ref="Q182:T182" si="115">(Q177*$U172)+(Q177*$U173)+(Q177*$U174)+(Q177*$U175)+(Q177*$U176)</f>
        <v>0</v>
      </c>
      <c r="R182" s="124">
        <f t="shared" si="115"/>
        <v>3762</v>
      </c>
      <c r="S182" s="124">
        <f t="shared" si="115"/>
        <v>6039</v>
      </c>
      <c r="T182" s="124">
        <f t="shared" si="115"/>
        <v>0</v>
      </c>
      <c r="U182" s="125">
        <f>SUM(N182:T182)</f>
        <v>9801</v>
      </c>
      <c r="V182" s="127"/>
      <c r="W182" s="125" t="s">
        <v>32</v>
      </c>
      <c r="X182" s="44"/>
      <c r="AA182" s="38" t="s">
        <v>33</v>
      </c>
      <c r="AB182" s="56">
        <f>AB172/AB180</f>
        <v>2.7777777777777776E-2</v>
      </c>
      <c r="AC182" s="57">
        <f>AC173/AC180</f>
        <v>1</v>
      </c>
      <c r="AD182" s="57">
        <f>AD174/AD180</f>
        <v>0.86363636363636365</v>
      </c>
      <c r="AE182" s="57">
        <v>1</v>
      </c>
      <c r="AF182" s="57">
        <v>1</v>
      </c>
      <c r="AG182" s="57">
        <v>1</v>
      </c>
      <c r="AH182" s="63">
        <v>1</v>
      </c>
      <c r="AI182" s="63">
        <v>1</v>
      </c>
      <c r="AJ182" s="41"/>
      <c r="AK182" s="42" t="s">
        <v>34</v>
      </c>
      <c r="AL182" s="43">
        <f>AM183</f>
        <v>0.61616161616161613</v>
      </c>
    </row>
    <row r="183" spans="1:39" ht="22" thickTop="1">
      <c r="A183" s="130" t="s">
        <v>135</v>
      </c>
      <c r="B183" s="122">
        <f>B179*I172</f>
        <v>0</v>
      </c>
      <c r="C183" s="122">
        <f>C179*I173</f>
        <v>0</v>
      </c>
      <c r="D183" s="122">
        <f>D179*I174</f>
        <v>2</v>
      </c>
      <c r="E183" s="122">
        <f>E179*I175</f>
        <v>936</v>
      </c>
      <c r="F183" s="122">
        <f>F179*I176</f>
        <v>4087</v>
      </c>
      <c r="G183" s="122">
        <f>G179*I177</f>
        <v>0</v>
      </c>
      <c r="H183" s="122">
        <f>H179*I178</f>
        <v>0</v>
      </c>
      <c r="I183" s="123">
        <f>SUM(B183:H183)</f>
        <v>5025</v>
      </c>
      <c r="J183" s="128"/>
      <c r="K183" s="123"/>
      <c r="L183" s="44"/>
      <c r="M183" s="116"/>
      <c r="O183" s="13"/>
      <c r="P183" s="115"/>
      <c r="Q183" s="115"/>
      <c r="R183" s="115"/>
      <c r="S183" s="115"/>
      <c r="T183" s="115"/>
      <c r="U183" t="s">
        <v>110</v>
      </c>
      <c r="V183" s="102">
        <f>X180</f>
        <v>0.82828282828282829</v>
      </c>
      <c r="W183" s="104">
        <f>(V183-V184)/(1-V184)</f>
        <v>0.64099829351535842</v>
      </c>
      <c r="X183" s="44"/>
      <c r="AA183" s="129" t="s">
        <v>136</v>
      </c>
      <c r="AK183" s="4"/>
      <c r="AM183" s="50">
        <f>SUM(AB172,AC173,AD174,AE175,AF176,AG177,AH178,AI179)/AJ180</f>
        <v>0.61616161616161613</v>
      </c>
    </row>
    <row r="184" spans="1:39" ht="29" thickBot="1">
      <c r="A184" s="131" t="s">
        <v>134</v>
      </c>
      <c r="B184" s="124">
        <f>(B179*$I172)+(B179*$I173)+(B179*$I174)+(B179*$I175)+(B179*$I176)+(B179*$I177)+(B179*$I178)</f>
        <v>0</v>
      </c>
      <c r="C184" s="124">
        <f>(C179*$I172)+(C179*$I173)+(C179*$I174)+(C179*$I175)+(C179*$I176)+(C179*$I177)+(C179*$I178)</f>
        <v>0</v>
      </c>
      <c r="D184" s="124">
        <f>(D179*$I172)+(D179*$I173)+(D179*$I174)+(D179*$I175)+(D179*$I176)+(D179*$I177)+(D179*$I178)</f>
        <v>198</v>
      </c>
      <c r="E184" s="124">
        <f>(E179*$I172)+(E179*$I173)+(E179*$I174)+(E179*$I175)+(E179*$I176)+(E179*$I177)+(E179*$I178)</f>
        <v>3564</v>
      </c>
      <c r="F184" s="124">
        <f>(F179*$I172)+(F179*$I173)+(F179*$I174)+(F179*$I175)+(F179*$I176)+(F179*$I177)+(F179*$I178)</f>
        <v>6039</v>
      </c>
      <c r="G184" s="124">
        <f>(G179*$I172)+(G179*$I173)+(G179*$I174)+(G179*$I175)+(G179*$I176)+(G179*$I177)+(G179*$I178)</f>
        <v>0</v>
      </c>
      <c r="H184" s="124">
        <f>(H179*$I172)+(H179*$I173)+(H179*$I174)+(H179*$I175)+(H179*$I176)+(H179*$I177)+(H179*$I178)</f>
        <v>0</v>
      </c>
      <c r="I184" s="125">
        <f>SUM(B184:H184)</f>
        <v>9801</v>
      </c>
      <c r="J184" s="127"/>
      <c r="K184" s="125" t="s">
        <v>32</v>
      </c>
      <c r="L184" s="44"/>
      <c r="M184" s="116"/>
      <c r="O184" s="187"/>
      <c r="P184" s="115"/>
      <c r="Q184" s="115"/>
      <c r="R184" s="115"/>
      <c r="S184" s="115"/>
      <c r="T184" s="115"/>
      <c r="U184" t="s">
        <v>111</v>
      </c>
      <c r="V184" s="103">
        <f>U181/U182</f>
        <v>0.52168146107540048</v>
      </c>
      <c r="W184" s="101"/>
      <c r="AA184" s="141" t="s">
        <v>135</v>
      </c>
      <c r="AB184" s="122">
        <f>AB180*AJ172</f>
        <v>36</v>
      </c>
      <c r="AC184" s="122">
        <f>AC180*AJ173</f>
        <v>1444</v>
      </c>
      <c r="AD184" s="122">
        <f>AD180*AJ174</f>
        <v>1056</v>
      </c>
      <c r="AE184" s="122">
        <f>AE180*AJ175</f>
        <v>0</v>
      </c>
      <c r="AF184" s="122">
        <f>AF180*AJ176</f>
        <v>0</v>
      </c>
      <c r="AG184" s="122">
        <f>AG180*AJ177</f>
        <v>0</v>
      </c>
      <c r="AH184" s="122">
        <f>AH180*AJ178</f>
        <v>0</v>
      </c>
      <c r="AI184" s="122">
        <f>AI180*AJ179</f>
        <v>24</v>
      </c>
      <c r="AJ184" s="123">
        <f>SUM(AB184:AI184)</f>
        <v>2560</v>
      </c>
      <c r="AK184" s="128"/>
      <c r="AL184" s="123"/>
      <c r="AM184" s="44"/>
    </row>
    <row r="185" spans="1:39" ht="30" thickTop="1" thickBot="1">
      <c r="A185" s="13"/>
      <c r="B185" s="115"/>
      <c r="C185" s="115"/>
      <c r="D185" s="115"/>
      <c r="E185" s="115"/>
      <c r="F185" s="115"/>
      <c r="G185" s="115"/>
      <c r="H185" s="115"/>
      <c r="I185" t="s">
        <v>110</v>
      </c>
      <c r="J185" s="102">
        <f>L182</f>
        <v>0.81818181818181823</v>
      </c>
      <c r="K185" s="104">
        <f>(J185-J186)/(1-J186)</f>
        <v>0.62688442211055284</v>
      </c>
      <c r="L185" s="44"/>
      <c r="M185" s="116"/>
      <c r="O185" s="24"/>
      <c r="P185" s="100"/>
      <c r="Q185" s="100"/>
      <c r="R185" s="100"/>
      <c r="S185" s="100"/>
      <c r="T185" s="100"/>
      <c r="U185" s="111"/>
      <c r="V185" s="132"/>
      <c r="W185" s="133"/>
      <c r="X185" s="24"/>
      <c r="AA185" s="142" t="s">
        <v>134</v>
      </c>
      <c r="AB185" s="124">
        <f>(AB180*$AJ172)+(AB180*$AJ173)+(AB180*$AJ174)+(AB180*$AJ175)+(AB180*$AJ176)+(AB180*$AJ177)+(AB180*$AJ178)+(AB180*$AJ179)</f>
        <v>3564</v>
      </c>
      <c r="AC185" s="124">
        <f t="shared" ref="AC185:AH185" si="116">(AC180*$AJ172)+(AC180*$AJ173)+(AC180*$AJ174)+(AC180*$AJ175)+(AC180*$AJ176)+(AC180*$AJ177)+(AC180*$AJ178)+(AC180*$AJ179)</f>
        <v>3762</v>
      </c>
      <c r="AD185" s="124">
        <f t="shared" si="116"/>
        <v>2178</v>
      </c>
      <c r="AE185" s="124">
        <f t="shared" si="116"/>
        <v>0</v>
      </c>
      <c r="AF185" s="124">
        <f t="shared" si="116"/>
        <v>0</v>
      </c>
      <c r="AG185" s="124">
        <f t="shared" si="116"/>
        <v>0</v>
      </c>
      <c r="AH185" s="124">
        <f t="shared" si="116"/>
        <v>0</v>
      </c>
      <c r="AI185" s="124">
        <f>(AI180*$AJ172)+(AI180*$AJ173)+(AI180*$AJ174)+(AI180*$AJ175)+(AI180*$AJ176)+(AI180*$AJ177)+(AI180*$AJ178)+(AI180*$AJ179)</f>
        <v>297</v>
      </c>
      <c r="AJ185" s="125">
        <f>SUM(AB185:AI185)</f>
        <v>9801</v>
      </c>
      <c r="AK185" s="127"/>
      <c r="AL185" s="125" t="s">
        <v>32</v>
      </c>
      <c r="AM185" s="44"/>
    </row>
    <row r="186" spans="1:39" ht="22" thickTop="1">
      <c r="A186" s="187"/>
      <c r="B186" s="115"/>
      <c r="C186" s="115"/>
      <c r="D186" s="115"/>
      <c r="E186" s="115"/>
      <c r="F186" s="115"/>
      <c r="G186" s="115"/>
      <c r="H186" s="115"/>
      <c r="I186" t="s">
        <v>111</v>
      </c>
      <c r="J186" s="103">
        <f>I183/I184</f>
        <v>0.51270278543005821</v>
      </c>
      <c r="K186" s="101"/>
      <c r="O186" s="24"/>
      <c r="P186" s="100"/>
      <c r="Q186" s="100"/>
      <c r="R186" s="100"/>
      <c r="S186" s="100"/>
      <c r="T186" s="100"/>
      <c r="U186" s="111"/>
      <c r="V186" s="132"/>
      <c r="W186" s="101"/>
      <c r="X186" s="24"/>
      <c r="AA186" s="187"/>
      <c r="AB186" s="13"/>
      <c r="AC186" s="115"/>
      <c r="AD186" s="115"/>
      <c r="AE186" s="115"/>
      <c r="AF186" s="115"/>
      <c r="AG186" s="115"/>
      <c r="AJ186" t="s">
        <v>110</v>
      </c>
      <c r="AK186" s="102">
        <f>AM183</f>
        <v>0.61616161616161613</v>
      </c>
      <c r="AL186" s="104">
        <f>(AK186-AK187)/(1-AK187)</f>
        <v>0.48045850020715364</v>
      </c>
      <c r="AM186" s="44"/>
    </row>
    <row r="187" spans="1:39" ht="21">
      <c r="A187" s="59"/>
      <c r="B187" s="126"/>
      <c r="C187" s="126"/>
      <c r="D187" s="126"/>
      <c r="E187" s="126"/>
      <c r="F187" s="126"/>
      <c r="G187" s="126"/>
      <c r="H187" s="126"/>
      <c r="I187" s="134"/>
      <c r="J187" s="135"/>
      <c r="K187" s="134"/>
      <c r="L187" s="5"/>
      <c r="M187" s="117"/>
      <c r="N187" s="5"/>
      <c r="O187" s="59"/>
      <c r="P187" s="59"/>
      <c r="Q187" s="59"/>
      <c r="R187" s="59"/>
      <c r="S187" s="59"/>
      <c r="T187" s="59"/>
      <c r="U187" s="59"/>
      <c r="V187" s="59"/>
      <c r="W187" s="59"/>
      <c r="X187" s="59"/>
      <c r="AA187" s="59"/>
      <c r="AB187" s="187"/>
      <c r="AC187" s="115"/>
      <c r="AD187" s="115"/>
      <c r="AE187" s="115"/>
      <c r="AF187" s="115"/>
      <c r="AG187" s="115"/>
      <c r="AJ187" t="s">
        <v>111</v>
      </c>
      <c r="AK187" s="103">
        <f>AJ184/AJ185</f>
        <v>0.26119783695541271</v>
      </c>
      <c r="AL187" s="101"/>
    </row>
    <row r="188" spans="1:39" ht="21">
      <c r="A188" s="59"/>
      <c r="B188" s="126"/>
      <c r="C188" s="126"/>
      <c r="D188" s="126"/>
      <c r="E188" s="126"/>
      <c r="F188" s="126"/>
      <c r="G188" s="126"/>
      <c r="H188" s="126"/>
      <c r="I188" s="137"/>
      <c r="J188" s="134"/>
      <c r="K188" s="135"/>
      <c r="L188" s="5"/>
      <c r="M188" s="117"/>
      <c r="N188" s="5"/>
      <c r="O188" s="59"/>
      <c r="P188" s="59"/>
      <c r="Q188" s="59"/>
      <c r="R188" s="59"/>
      <c r="S188" s="59"/>
      <c r="T188" s="59"/>
      <c r="U188" s="59"/>
      <c r="V188" s="59"/>
      <c r="W188" s="59"/>
      <c r="X188" s="59"/>
      <c r="AA188" s="59"/>
      <c r="AB188" s="126"/>
      <c r="AC188" s="126"/>
      <c r="AD188" s="126"/>
      <c r="AE188" s="126"/>
      <c r="AF188" s="126"/>
      <c r="AG188" s="126"/>
      <c r="AH188" s="126"/>
      <c r="AI188" s="126"/>
      <c r="AJ188" s="137"/>
      <c r="AK188" s="137"/>
      <c r="AL188" s="137"/>
      <c r="AM188" s="5"/>
    </row>
    <row r="189" spans="1:39" ht="21">
      <c r="A189" s="59"/>
      <c r="B189" s="126"/>
      <c r="C189" s="126"/>
      <c r="D189" s="126"/>
      <c r="E189" s="126"/>
      <c r="F189" s="126"/>
      <c r="G189" s="126"/>
      <c r="H189" s="126"/>
      <c r="I189" s="137"/>
      <c r="J189" s="138"/>
      <c r="K189" s="139"/>
      <c r="L189" s="5"/>
      <c r="M189" s="117"/>
      <c r="N189" s="5"/>
      <c r="O189" s="59"/>
      <c r="P189" s="59"/>
      <c r="Q189" s="59"/>
      <c r="R189" s="59"/>
      <c r="S189" s="59"/>
      <c r="T189" s="59"/>
      <c r="U189" s="59"/>
      <c r="V189" s="59"/>
      <c r="W189" s="59"/>
      <c r="X189" s="59"/>
      <c r="AA189" s="59"/>
      <c r="AB189" s="126"/>
      <c r="AC189" s="126"/>
      <c r="AD189" s="126"/>
      <c r="AE189" s="126"/>
      <c r="AF189" s="126"/>
      <c r="AG189" s="126"/>
      <c r="AH189" s="126"/>
      <c r="AI189" s="126"/>
      <c r="AJ189" s="137"/>
      <c r="AK189" s="137"/>
      <c r="AL189" s="137"/>
      <c r="AM189" s="5"/>
    </row>
    <row r="190" spans="1:39" ht="17" thickBot="1">
      <c r="A190" s="188" t="s">
        <v>8</v>
      </c>
      <c r="B190" s="188"/>
      <c r="C190" s="188"/>
      <c r="D190" s="188"/>
      <c r="E190" s="188"/>
      <c r="F190" s="188"/>
      <c r="G190" s="188"/>
      <c r="H190" s="188"/>
      <c r="I190" s="188"/>
      <c r="J190" s="188"/>
      <c r="K190" s="188"/>
      <c r="L190" s="6"/>
      <c r="M190" s="112"/>
      <c r="O190" s="188" t="s">
        <v>8</v>
      </c>
      <c r="P190" s="188"/>
      <c r="Q190" s="188"/>
      <c r="R190" s="188"/>
      <c r="S190" s="188"/>
      <c r="T190" s="188"/>
      <c r="U190" s="188"/>
      <c r="V190" s="188"/>
      <c r="W190" s="188"/>
      <c r="X190" s="190"/>
      <c r="AA190" s="188" t="s">
        <v>8</v>
      </c>
      <c r="AB190" s="188"/>
      <c r="AC190" s="188"/>
      <c r="AD190" s="188"/>
      <c r="AE190" s="188"/>
      <c r="AF190" s="188"/>
      <c r="AG190" s="188"/>
      <c r="AH190" s="188"/>
      <c r="AI190" s="188"/>
      <c r="AJ190" s="188"/>
      <c r="AK190" s="188"/>
      <c r="AL190" s="6"/>
    </row>
    <row r="191" spans="1:39" ht="91" thickBot="1">
      <c r="A191" s="8" t="s">
        <v>62</v>
      </c>
      <c r="B191" s="9" t="s">
        <v>10</v>
      </c>
      <c r="C191" s="9" t="s">
        <v>11</v>
      </c>
      <c r="D191" s="9" t="s">
        <v>12</v>
      </c>
      <c r="E191" s="9" t="s">
        <v>13</v>
      </c>
      <c r="F191" s="9" t="s">
        <v>14</v>
      </c>
      <c r="G191" s="9" t="s">
        <v>15</v>
      </c>
      <c r="H191" s="9" t="s">
        <v>16</v>
      </c>
      <c r="I191" s="10" t="s">
        <v>17</v>
      </c>
      <c r="J191" s="11" t="s">
        <v>18</v>
      </c>
      <c r="K191" s="12" t="s">
        <v>19</v>
      </c>
      <c r="L191" s="13"/>
      <c r="M191" s="114"/>
      <c r="O191" s="8" t="s">
        <v>63</v>
      </c>
      <c r="P191" s="9" t="s">
        <v>10</v>
      </c>
      <c r="Q191" s="9" t="s">
        <v>11</v>
      </c>
      <c r="R191" s="9" t="s">
        <v>21</v>
      </c>
      <c r="S191" s="9" t="s">
        <v>22</v>
      </c>
      <c r="T191" s="9" t="s">
        <v>16</v>
      </c>
      <c r="U191" s="10" t="s">
        <v>17</v>
      </c>
      <c r="V191" s="15" t="s">
        <v>18</v>
      </c>
      <c r="W191" s="12" t="s">
        <v>19</v>
      </c>
      <c r="X191" s="16"/>
      <c r="AA191" s="8" t="s">
        <v>64</v>
      </c>
      <c r="AB191" s="17" t="s">
        <v>24</v>
      </c>
      <c r="AC191" s="17" t="s">
        <v>25</v>
      </c>
      <c r="AD191" s="17" t="s">
        <v>26</v>
      </c>
      <c r="AE191" s="17" t="s">
        <v>27</v>
      </c>
      <c r="AF191" s="17" t="s">
        <v>28</v>
      </c>
      <c r="AG191" s="17" t="s">
        <v>29</v>
      </c>
      <c r="AH191" s="17" t="s">
        <v>30</v>
      </c>
      <c r="AI191" s="17" t="s">
        <v>16</v>
      </c>
      <c r="AJ191" s="18" t="s">
        <v>17</v>
      </c>
      <c r="AK191" s="18" t="s">
        <v>18</v>
      </c>
      <c r="AL191" s="19" t="s">
        <v>19</v>
      </c>
    </row>
    <row r="192" spans="1:39" ht="56">
      <c r="A192" s="20" t="s">
        <v>10</v>
      </c>
      <c r="B192" s="13"/>
      <c r="C192" s="13"/>
      <c r="D192" s="13"/>
      <c r="E192" s="13">
        <v>2</v>
      </c>
      <c r="F192" s="13"/>
      <c r="G192" s="13"/>
      <c r="H192" s="13"/>
      <c r="I192" s="13">
        <f t="shared" ref="I192:I199" si="117">SUM(B192:H192)</f>
        <v>2</v>
      </c>
      <c r="J192" s="22">
        <f>1-K192</f>
        <v>1</v>
      </c>
      <c r="K192" s="23">
        <f>0/8</f>
        <v>0</v>
      </c>
      <c r="L192" s="21"/>
      <c r="M192" s="115"/>
      <c r="O192" s="20" t="s">
        <v>10</v>
      </c>
      <c r="P192" s="13"/>
      <c r="Q192" s="13"/>
      <c r="R192" s="13">
        <v>2</v>
      </c>
      <c r="S192" s="13"/>
      <c r="T192" s="13"/>
      <c r="U192" s="21">
        <f t="shared" ref="U192:U197" si="118">SUM(P192:T192)</f>
        <v>2</v>
      </c>
      <c r="V192" s="25">
        <f>1-W192</f>
        <v>1</v>
      </c>
      <c r="W192" s="23">
        <f>P192/U192</f>
        <v>0</v>
      </c>
      <c r="X192" s="21"/>
      <c r="AA192" s="26" t="s">
        <v>24</v>
      </c>
      <c r="AB192" s="27">
        <v>1</v>
      </c>
      <c r="AC192" s="28"/>
      <c r="AD192" s="28"/>
      <c r="AE192" s="28"/>
      <c r="AF192" s="28"/>
      <c r="AG192" s="28"/>
      <c r="AH192" s="28"/>
      <c r="AJ192" s="29">
        <f t="shared" ref="AJ192:AJ198" si="119">SUM(AB192:AH192)</f>
        <v>1</v>
      </c>
      <c r="AK192" s="30">
        <f>1-AL192</f>
        <v>0</v>
      </c>
      <c r="AL192" s="31">
        <f>AB192/AJ192</f>
        <v>1</v>
      </c>
    </row>
    <row r="193" spans="1:39" ht="45">
      <c r="A193" s="20" t="s">
        <v>11</v>
      </c>
      <c r="B193" s="13"/>
      <c r="C193" s="13"/>
      <c r="D193" s="13"/>
      <c r="E193" s="13"/>
      <c r="F193" s="13"/>
      <c r="G193" s="13"/>
      <c r="H193" s="13"/>
      <c r="I193" s="13">
        <f t="shared" si="117"/>
        <v>0</v>
      </c>
      <c r="J193" s="22">
        <f t="shared" ref="J193:J198" si="120">1-K193</f>
        <v>0</v>
      </c>
      <c r="K193" s="23">
        <v>1</v>
      </c>
      <c r="L193" s="21"/>
      <c r="M193" s="115"/>
      <c r="O193" s="20" t="s">
        <v>11</v>
      </c>
      <c r="P193" s="13"/>
      <c r="Q193" s="13"/>
      <c r="R193" s="13"/>
      <c r="S193" s="13"/>
      <c r="T193" s="13"/>
      <c r="U193" s="21">
        <f t="shared" si="118"/>
        <v>0</v>
      </c>
      <c r="V193" s="25">
        <f t="shared" ref="V193:V196" si="121">1-W193</f>
        <v>0</v>
      </c>
      <c r="W193" s="23">
        <v>1</v>
      </c>
      <c r="X193" s="21"/>
      <c r="AA193" s="32" t="s">
        <v>25</v>
      </c>
      <c r="AB193" s="16">
        <v>4</v>
      </c>
      <c r="AC193" s="13">
        <v>28</v>
      </c>
      <c r="AD193" s="13">
        <v>1</v>
      </c>
      <c r="AE193" s="13"/>
      <c r="AF193" s="13"/>
      <c r="AG193" s="13"/>
      <c r="AH193" s="13"/>
      <c r="AJ193" s="21">
        <f t="shared" si="119"/>
        <v>33</v>
      </c>
      <c r="AK193" s="25">
        <f>1-AL193</f>
        <v>0.15151515151515149</v>
      </c>
      <c r="AL193" s="23">
        <f>AC193/AJ193</f>
        <v>0.84848484848484851</v>
      </c>
    </row>
    <row r="194" spans="1:39" ht="45">
      <c r="A194" s="20" t="s">
        <v>12</v>
      </c>
      <c r="B194" s="13"/>
      <c r="C194" s="13"/>
      <c r="D194" s="13">
        <v>1</v>
      </c>
      <c r="E194" s="13"/>
      <c r="F194" s="13"/>
      <c r="G194" s="13"/>
      <c r="H194" s="13"/>
      <c r="I194" s="13">
        <f t="shared" si="117"/>
        <v>1</v>
      </c>
      <c r="J194" s="22">
        <f t="shared" si="120"/>
        <v>0</v>
      </c>
      <c r="K194" s="23">
        <f>D194/I194</f>
        <v>1</v>
      </c>
      <c r="L194" s="21"/>
      <c r="M194" s="115"/>
      <c r="O194" s="20" t="s">
        <v>21</v>
      </c>
      <c r="P194" s="13"/>
      <c r="Q194" s="13"/>
      <c r="R194" s="13">
        <v>20</v>
      </c>
      <c r="S194" s="13">
        <v>3</v>
      </c>
      <c r="T194" s="13"/>
      <c r="U194" s="21">
        <f t="shared" si="118"/>
        <v>23</v>
      </c>
      <c r="V194" s="25">
        <f t="shared" si="121"/>
        <v>0.13043478260869568</v>
      </c>
      <c r="W194" s="23">
        <f>R194/U194</f>
        <v>0.86956521739130432</v>
      </c>
      <c r="X194" s="21"/>
      <c r="AA194" s="32" t="s">
        <v>26</v>
      </c>
      <c r="AB194" s="16">
        <v>27</v>
      </c>
      <c r="AC194" s="13">
        <v>10</v>
      </c>
      <c r="AD194" s="13">
        <v>20</v>
      </c>
      <c r="AE194" s="13"/>
      <c r="AF194" s="13"/>
      <c r="AG194" s="13"/>
      <c r="AH194" s="13"/>
      <c r="AJ194" s="21">
        <f t="shared" si="119"/>
        <v>57</v>
      </c>
      <c r="AK194" s="25">
        <f t="shared" ref="AK194:AK199" si="122">1-AL194</f>
        <v>0.64912280701754388</v>
      </c>
      <c r="AL194" s="23">
        <f>AD194/AJ194</f>
        <v>0.35087719298245612</v>
      </c>
    </row>
    <row r="195" spans="1:39" ht="42">
      <c r="A195" s="20" t="s">
        <v>13</v>
      </c>
      <c r="B195" s="13"/>
      <c r="C195" s="13"/>
      <c r="D195" s="13">
        <v>1</v>
      </c>
      <c r="E195" s="13">
        <v>18</v>
      </c>
      <c r="F195" s="13">
        <v>3</v>
      </c>
      <c r="G195" s="13"/>
      <c r="H195" s="13"/>
      <c r="I195" s="13">
        <f t="shared" si="117"/>
        <v>22</v>
      </c>
      <c r="J195" s="22">
        <f t="shared" si="120"/>
        <v>0.18181818181818177</v>
      </c>
      <c r="K195" s="23">
        <f>E195/I195</f>
        <v>0.81818181818181823</v>
      </c>
      <c r="L195" s="21"/>
      <c r="M195" s="115"/>
      <c r="O195" s="20" t="s">
        <v>22</v>
      </c>
      <c r="P195" s="13"/>
      <c r="Q195" s="13"/>
      <c r="R195" s="13">
        <v>14</v>
      </c>
      <c r="S195" s="13">
        <v>57</v>
      </c>
      <c r="T195" s="13"/>
      <c r="U195" s="21">
        <f t="shared" si="118"/>
        <v>71</v>
      </c>
      <c r="V195" s="25">
        <f t="shared" si="121"/>
        <v>0.19718309859154926</v>
      </c>
      <c r="W195" s="23">
        <f>S195/U195</f>
        <v>0.80281690140845074</v>
      </c>
      <c r="X195" s="21"/>
      <c r="AA195" s="32" t="s">
        <v>27</v>
      </c>
      <c r="AB195" s="16"/>
      <c r="AC195" s="13"/>
      <c r="AD195" s="13"/>
      <c r="AE195" s="13"/>
      <c r="AF195" s="13"/>
      <c r="AG195" s="13"/>
      <c r="AH195" s="13"/>
      <c r="AJ195" s="21">
        <f t="shared" si="119"/>
        <v>0</v>
      </c>
      <c r="AK195" s="25">
        <f t="shared" si="122"/>
        <v>0</v>
      </c>
      <c r="AL195" s="23">
        <v>1</v>
      </c>
    </row>
    <row r="196" spans="1:39" ht="45">
      <c r="A196" s="20" t="s">
        <v>14</v>
      </c>
      <c r="B196" s="13"/>
      <c r="C196" s="13"/>
      <c r="D196" s="13"/>
      <c r="E196" s="13">
        <v>14</v>
      </c>
      <c r="F196" s="13">
        <v>57</v>
      </c>
      <c r="G196" s="13"/>
      <c r="H196" s="13"/>
      <c r="I196" s="13">
        <f t="shared" si="117"/>
        <v>71</v>
      </c>
      <c r="J196" s="22">
        <f t="shared" si="120"/>
        <v>0.19718309859154926</v>
      </c>
      <c r="K196" s="23">
        <f>F196/I196</f>
        <v>0.80281690140845074</v>
      </c>
      <c r="L196" s="21"/>
      <c r="M196" s="115"/>
      <c r="O196" s="20" t="s">
        <v>16</v>
      </c>
      <c r="P196" s="13"/>
      <c r="Q196" s="13"/>
      <c r="R196" s="13">
        <v>2</v>
      </c>
      <c r="S196" s="13">
        <v>1</v>
      </c>
      <c r="T196" s="13"/>
      <c r="U196" s="21">
        <f t="shared" si="118"/>
        <v>3</v>
      </c>
      <c r="V196" s="25">
        <f t="shared" si="121"/>
        <v>1</v>
      </c>
      <c r="W196" s="23">
        <f>T196/U196</f>
        <v>0</v>
      </c>
      <c r="X196" s="21"/>
      <c r="AA196" s="32" t="s">
        <v>28</v>
      </c>
      <c r="AB196" s="16">
        <v>1</v>
      </c>
      <c r="AC196" s="13"/>
      <c r="AD196" s="13"/>
      <c r="AE196" s="13"/>
      <c r="AF196" s="13"/>
      <c r="AG196" s="13"/>
      <c r="AH196" s="13"/>
      <c r="AJ196" s="21">
        <f t="shared" si="119"/>
        <v>1</v>
      </c>
      <c r="AK196" s="25">
        <f t="shared" si="122"/>
        <v>1</v>
      </c>
      <c r="AL196" s="23">
        <f>AF196/AJ196</f>
        <v>0</v>
      </c>
    </row>
    <row r="197" spans="1:39" ht="30">
      <c r="A197" s="20" t="s">
        <v>15</v>
      </c>
      <c r="B197" s="13"/>
      <c r="C197" s="13"/>
      <c r="D197" s="13"/>
      <c r="E197" s="13"/>
      <c r="F197" s="13"/>
      <c r="G197" s="13"/>
      <c r="H197" s="13"/>
      <c r="I197" s="13">
        <f t="shared" si="117"/>
        <v>0</v>
      </c>
      <c r="J197" s="22">
        <f t="shared" si="120"/>
        <v>0</v>
      </c>
      <c r="K197" s="23">
        <v>1</v>
      </c>
      <c r="L197" s="21"/>
      <c r="M197" s="115"/>
      <c r="O197" s="33" t="s">
        <v>17</v>
      </c>
      <c r="P197" s="21">
        <f>SUM(P192:P196)</f>
        <v>0</v>
      </c>
      <c r="Q197" s="21">
        <f>SUM(Q192:Q196)</f>
        <v>0</v>
      </c>
      <c r="R197" s="21">
        <f>SUM(R192:R196)</f>
        <v>38</v>
      </c>
      <c r="S197" s="21">
        <f>SUM(S192:S196)</f>
        <v>61</v>
      </c>
      <c r="T197" s="21">
        <f>SUM(T192:T196)</f>
        <v>0</v>
      </c>
      <c r="U197" s="21">
        <f t="shared" si="118"/>
        <v>99</v>
      </c>
      <c r="V197" s="21"/>
      <c r="W197" s="34"/>
      <c r="X197" s="21"/>
      <c r="AA197" s="32" t="s">
        <v>29</v>
      </c>
      <c r="AB197" s="16"/>
      <c r="AC197" s="13"/>
      <c r="AD197" s="13"/>
      <c r="AE197" s="13"/>
      <c r="AF197" s="13"/>
      <c r="AG197" s="13"/>
      <c r="AH197" s="13"/>
      <c r="AJ197" s="21">
        <f t="shared" si="119"/>
        <v>0</v>
      </c>
      <c r="AK197" s="25">
        <f t="shared" si="122"/>
        <v>0</v>
      </c>
      <c r="AL197" s="23">
        <v>1</v>
      </c>
    </row>
    <row r="198" spans="1:39" ht="45">
      <c r="A198" s="20" t="s">
        <v>16</v>
      </c>
      <c r="B198" s="13"/>
      <c r="C198" s="13"/>
      <c r="D198" s="13"/>
      <c r="E198" s="13">
        <v>2</v>
      </c>
      <c r="F198" s="13">
        <v>1</v>
      </c>
      <c r="G198" s="13"/>
      <c r="H198" s="13"/>
      <c r="I198" s="13">
        <f t="shared" si="117"/>
        <v>3</v>
      </c>
      <c r="J198" s="22">
        <f t="shared" si="120"/>
        <v>1</v>
      </c>
      <c r="K198" s="23">
        <f>H198/I198</f>
        <v>0</v>
      </c>
      <c r="L198" s="21"/>
      <c r="M198" s="115"/>
      <c r="O198" s="33" t="s">
        <v>31</v>
      </c>
      <c r="P198" s="25">
        <f>1-P199</f>
        <v>0</v>
      </c>
      <c r="Q198" s="25">
        <f t="shared" ref="Q198:T198" si="123">1-Q199</f>
        <v>0</v>
      </c>
      <c r="R198" s="25">
        <f t="shared" si="123"/>
        <v>0.47368421052631582</v>
      </c>
      <c r="S198" s="25">
        <f t="shared" si="123"/>
        <v>6.557377049180324E-2</v>
      </c>
      <c r="T198" s="25">
        <f t="shared" si="123"/>
        <v>0</v>
      </c>
      <c r="U198" s="13"/>
      <c r="V198" s="46" t="s">
        <v>32</v>
      </c>
      <c r="W198" s="36">
        <f>W203</f>
        <v>0.52610966057441255</v>
      </c>
      <c r="X198" s="21"/>
      <c r="AA198" s="32" t="s">
        <v>30</v>
      </c>
      <c r="AB198" s="16">
        <v>1</v>
      </c>
      <c r="AC198" s="13"/>
      <c r="AD198" s="13">
        <v>1</v>
      </c>
      <c r="AE198" s="13"/>
      <c r="AF198" s="13"/>
      <c r="AG198" s="13"/>
      <c r="AH198" s="13"/>
      <c r="AJ198" s="21">
        <f t="shared" si="119"/>
        <v>2</v>
      </c>
      <c r="AK198" s="25">
        <f t="shared" si="122"/>
        <v>1</v>
      </c>
      <c r="AL198" s="23">
        <f>AH198/AJ198</f>
        <v>0</v>
      </c>
    </row>
    <row r="199" spans="1:39" ht="29" thickBot="1">
      <c r="A199" s="33" t="s">
        <v>17</v>
      </c>
      <c r="B199" s="21">
        <f t="shared" ref="B199:H199" si="124">SUM(B192:B198)</f>
        <v>0</v>
      </c>
      <c r="C199" s="21">
        <f t="shared" si="124"/>
        <v>0</v>
      </c>
      <c r="D199" s="21">
        <f t="shared" si="124"/>
        <v>2</v>
      </c>
      <c r="E199" s="21">
        <f t="shared" si="124"/>
        <v>36</v>
      </c>
      <c r="F199" s="21">
        <f t="shared" si="124"/>
        <v>61</v>
      </c>
      <c r="G199" s="21">
        <f t="shared" si="124"/>
        <v>0</v>
      </c>
      <c r="H199" s="21">
        <f t="shared" si="124"/>
        <v>0</v>
      </c>
      <c r="I199" s="21">
        <f t="shared" si="117"/>
        <v>99</v>
      </c>
      <c r="J199" s="37"/>
      <c r="K199" s="34"/>
      <c r="L199" s="21"/>
      <c r="M199" s="115"/>
      <c r="O199" s="38" t="s">
        <v>33</v>
      </c>
      <c r="P199" s="39">
        <v>1</v>
      </c>
      <c r="Q199" s="40">
        <v>1</v>
      </c>
      <c r="R199" s="40">
        <f>R194/R197</f>
        <v>0.52631578947368418</v>
      </c>
      <c r="S199" s="40">
        <f>S195/S197</f>
        <v>0.93442622950819676</v>
      </c>
      <c r="T199" s="39">
        <v>1</v>
      </c>
      <c r="U199" s="41"/>
      <c r="V199" s="52" t="s">
        <v>34</v>
      </c>
      <c r="W199" s="43">
        <f>X200</f>
        <v>0.77777777777777779</v>
      </c>
      <c r="X199" s="44"/>
      <c r="AA199" s="60" t="s">
        <v>16</v>
      </c>
      <c r="AB199" s="24">
        <v>2</v>
      </c>
      <c r="AC199" s="24"/>
      <c r="AD199" s="24"/>
      <c r="AE199" s="24"/>
      <c r="AF199" s="24"/>
      <c r="AG199" s="24"/>
      <c r="AH199" s="24"/>
      <c r="AI199" s="24">
        <v>3</v>
      </c>
      <c r="AJ199" s="21">
        <f>SUM(AB199:AI199)</f>
        <v>5</v>
      </c>
      <c r="AK199" s="25">
        <f t="shared" si="122"/>
        <v>0.4</v>
      </c>
      <c r="AL199" s="23">
        <f>AI199/AJ199</f>
        <v>0.6</v>
      </c>
    </row>
    <row r="200" spans="1:39" ht="28">
      <c r="A200" s="33" t="s">
        <v>31</v>
      </c>
      <c r="B200" s="25">
        <f>1-B201</f>
        <v>0</v>
      </c>
      <c r="C200" s="25">
        <f t="shared" ref="C200:H200" si="125">1-C201</f>
        <v>0</v>
      </c>
      <c r="D200" s="25">
        <f t="shared" si="125"/>
        <v>0.5</v>
      </c>
      <c r="E200" s="25">
        <f t="shared" si="125"/>
        <v>0.5</v>
      </c>
      <c r="F200" s="25">
        <f t="shared" si="125"/>
        <v>6.557377049180324E-2</v>
      </c>
      <c r="G200" s="25">
        <f t="shared" si="125"/>
        <v>0</v>
      </c>
      <c r="H200" s="25">
        <f t="shared" si="125"/>
        <v>0</v>
      </c>
      <c r="I200" s="49"/>
      <c r="J200" s="46" t="s">
        <v>32</v>
      </c>
      <c r="K200" s="36">
        <f>K205</f>
        <v>0.51304533789563711</v>
      </c>
      <c r="L200" s="21"/>
      <c r="M200" s="115"/>
      <c r="O200" s="129" t="s">
        <v>136</v>
      </c>
      <c r="V200" s="4"/>
      <c r="X200" s="50">
        <f>SUM(P192,Q193,R194,S195,T196)/U197</f>
        <v>0.77777777777777779</v>
      </c>
      <c r="AA200" s="33" t="s">
        <v>17</v>
      </c>
      <c r="AB200" s="21">
        <f t="shared" ref="AB200:AH200" si="126">SUM(AB192:AB199)</f>
        <v>36</v>
      </c>
      <c r="AC200" s="21">
        <f t="shared" si="126"/>
        <v>38</v>
      </c>
      <c r="AD200" s="21">
        <f t="shared" si="126"/>
        <v>22</v>
      </c>
      <c r="AE200" s="21">
        <f t="shared" si="126"/>
        <v>0</v>
      </c>
      <c r="AF200" s="21">
        <f t="shared" si="126"/>
        <v>0</v>
      </c>
      <c r="AG200" s="21">
        <f t="shared" si="126"/>
        <v>0</v>
      </c>
      <c r="AH200" s="21">
        <f t="shared" si="126"/>
        <v>0</v>
      </c>
      <c r="AI200" s="21">
        <f>SUM(AI192:AI199)</f>
        <v>3</v>
      </c>
      <c r="AJ200" s="21">
        <f>SUM(AB200:AI200)</f>
        <v>99</v>
      </c>
      <c r="AL200" s="51"/>
    </row>
    <row r="201" spans="1:39" ht="29" thickBot="1">
      <c r="A201" s="38" t="s">
        <v>33</v>
      </c>
      <c r="B201" s="39">
        <v>1</v>
      </c>
      <c r="C201" s="40">
        <v>1</v>
      </c>
      <c r="D201" s="40">
        <f>D194/D199</f>
        <v>0.5</v>
      </c>
      <c r="E201" s="40">
        <f>E195/E199</f>
        <v>0.5</v>
      </c>
      <c r="F201" s="40">
        <f>F196/F199</f>
        <v>0.93442622950819676</v>
      </c>
      <c r="G201" s="40">
        <v>1</v>
      </c>
      <c r="H201" s="39">
        <v>1</v>
      </c>
      <c r="I201" s="41"/>
      <c r="J201" s="52" t="s">
        <v>34</v>
      </c>
      <c r="K201" s="43">
        <f>L202</f>
        <v>0.76767676767676762</v>
      </c>
      <c r="L201" s="44"/>
      <c r="M201" s="116"/>
      <c r="O201" s="141" t="s">
        <v>135</v>
      </c>
      <c r="P201" s="122">
        <f>P197*U192</f>
        <v>0</v>
      </c>
      <c r="Q201" s="122">
        <f>Q197*U193</f>
        <v>0</v>
      </c>
      <c r="R201" s="122">
        <f>R197*U194</f>
        <v>874</v>
      </c>
      <c r="S201" s="122">
        <f>S197*U195</f>
        <v>4331</v>
      </c>
      <c r="T201" s="122">
        <f>T197*U196</f>
        <v>0</v>
      </c>
      <c r="U201" s="123">
        <f>SUM(N201:T201)</f>
        <v>5205</v>
      </c>
      <c r="V201" s="128"/>
      <c r="W201" s="123"/>
      <c r="X201" s="44"/>
      <c r="AA201" s="33" t="s">
        <v>35</v>
      </c>
      <c r="AB201" s="53">
        <f>1-AB202</f>
        <v>0.97222222222222221</v>
      </c>
      <c r="AC201" s="54">
        <f>1-AC202</f>
        <v>0.26315789473684215</v>
      </c>
      <c r="AD201" s="54">
        <f t="shared" ref="AD201:AI201" si="127">1-AD202</f>
        <v>9.0909090909090939E-2</v>
      </c>
      <c r="AE201" s="54">
        <f t="shared" si="127"/>
        <v>0</v>
      </c>
      <c r="AF201" s="54">
        <f t="shared" si="127"/>
        <v>0</v>
      </c>
      <c r="AG201" s="54">
        <f t="shared" si="127"/>
        <v>0</v>
      </c>
      <c r="AH201" s="54">
        <f t="shared" si="127"/>
        <v>0</v>
      </c>
      <c r="AI201" s="54">
        <f t="shared" si="127"/>
        <v>0</v>
      </c>
      <c r="AK201" s="35" t="s">
        <v>32</v>
      </c>
      <c r="AL201" s="36">
        <f>AL206</f>
        <v>0.35749792874896441</v>
      </c>
    </row>
    <row r="202" spans="1:39" ht="33" thickBot="1">
      <c r="A202" s="129" t="s">
        <v>136</v>
      </c>
      <c r="L202" s="50">
        <f>SUM(B192,C193,D194,E195,F196,G197,H198)/I199</f>
        <v>0.76767676767676762</v>
      </c>
      <c r="M202" s="113"/>
      <c r="O202" s="142" t="s">
        <v>134</v>
      </c>
      <c r="P202" s="124">
        <f>(P197*$U192)+(P197*$U193)+(P197*$U194)+(P197*$U195)+(P197*$U196)</f>
        <v>0</v>
      </c>
      <c r="Q202" s="124">
        <f t="shared" ref="Q202:T202" si="128">(Q197*$U192)+(Q197*$U193)+(Q197*$U194)+(Q197*$U195)+(Q197*$U196)</f>
        <v>0</v>
      </c>
      <c r="R202" s="124">
        <f t="shared" si="128"/>
        <v>3762</v>
      </c>
      <c r="S202" s="124">
        <f t="shared" si="128"/>
        <v>6039</v>
      </c>
      <c r="T202" s="124">
        <f t="shared" si="128"/>
        <v>0</v>
      </c>
      <c r="U202" s="125">
        <f>SUM(N202:T202)</f>
        <v>9801</v>
      </c>
      <c r="V202" s="127"/>
      <c r="W202" s="125" t="s">
        <v>32</v>
      </c>
      <c r="X202" s="44"/>
      <c r="AA202" s="38" t="s">
        <v>33</v>
      </c>
      <c r="AB202" s="56">
        <f>AB192/AB200</f>
        <v>2.7777777777777776E-2</v>
      </c>
      <c r="AC202" s="57">
        <f>AC193/AC200</f>
        <v>0.73684210526315785</v>
      </c>
      <c r="AD202" s="57">
        <f>AD194/AD200</f>
        <v>0.90909090909090906</v>
      </c>
      <c r="AE202" s="57">
        <v>1</v>
      </c>
      <c r="AF202" s="57">
        <v>1</v>
      </c>
      <c r="AG202" s="57">
        <v>1</v>
      </c>
      <c r="AH202" s="63">
        <v>1</v>
      </c>
      <c r="AI202" s="63">
        <f>AI199/AI200</f>
        <v>1</v>
      </c>
      <c r="AJ202" s="41"/>
      <c r="AK202" s="42" t="s">
        <v>34</v>
      </c>
      <c r="AL202" s="43">
        <f>AM203</f>
        <v>0.5252525252525253</v>
      </c>
    </row>
    <row r="203" spans="1:39" ht="22" thickTop="1">
      <c r="A203" s="130" t="s">
        <v>135</v>
      </c>
      <c r="B203" s="122">
        <f>B199*I192</f>
        <v>0</v>
      </c>
      <c r="C203" s="122">
        <f>C199*I193</f>
        <v>0</v>
      </c>
      <c r="D203" s="122">
        <f>D199*I194</f>
        <v>2</v>
      </c>
      <c r="E203" s="122">
        <f>E199*I195</f>
        <v>792</v>
      </c>
      <c r="F203" s="122">
        <f>F199*I196</f>
        <v>4331</v>
      </c>
      <c r="G203" s="122">
        <f>G199*I197</f>
        <v>0</v>
      </c>
      <c r="H203" s="122">
        <f>H199*I198</f>
        <v>0</v>
      </c>
      <c r="I203" s="123">
        <f>SUM(B203:H203)</f>
        <v>5125</v>
      </c>
      <c r="J203" s="128"/>
      <c r="K203" s="123"/>
      <c r="L203" s="44"/>
      <c r="M203" s="116"/>
      <c r="O203" s="13"/>
      <c r="P203" s="115"/>
      <c r="Q203" s="115"/>
      <c r="R203" s="115"/>
      <c r="S203" s="115"/>
      <c r="T203" s="115"/>
      <c r="U203" t="s">
        <v>110</v>
      </c>
      <c r="V203" s="102">
        <f>X200</f>
        <v>0.77777777777777779</v>
      </c>
      <c r="W203" s="104">
        <f>(V203-V204)/(1-V204)</f>
        <v>0.52610966057441255</v>
      </c>
      <c r="X203" s="44"/>
      <c r="AA203" s="129" t="s">
        <v>136</v>
      </c>
      <c r="AK203" s="4"/>
      <c r="AM203" s="50">
        <f>SUM(AB192,AC193,AD194,AE195,AF196,AG197,AH198,AI199)/AJ200</f>
        <v>0.5252525252525253</v>
      </c>
    </row>
    <row r="204" spans="1:39" ht="29" thickBot="1">
      <c r="A204" s="131" t="s">
        <v>134</v>
      </c>
      <c r="B204" s="124">
        <f>(B199*$I192)+(B199*$I193)+(B199*$I194)+(B199*$I195)+(B199*$I196)+(B199*$I197)+(B199*$I198)</f>
        <v>0</v>
      </c>
      <c r="C204" s="124">
        <f>(C199*$I192)+(C199*$I193)+(C199*$I194)+(C199*$I195)+(C199*$I196)+(C199*$I197)+(C199*$I198)</f>
        <v>0</v>
      </c>
      <c r="D204" s="124">
        <f>(D199*$I192)+(D199*$I193)+(D199*$I194)+(D199*$I195)+(D199*$I196)+(D199*$I197)+(D199*$I198)</f>
        <v>198</v>
      </c>
      <c r="E204" s="124">
        <f>(E199*$I192)+(E199*$I193)+(E199*$I194)+(E199*$I195)+(E199*$I196)+(E199*$I197)+(E199*$I198)</f>
        <v>3564</v>
      </c>
      <c r="F204" s="124">
        <f>(F199*$I192)+(F199*$I193)+(F199*$I194)+(F199*$I195)+(F199*$I196)+(F199*$I197)+(F199*$I198)</f>
        <v>6039</v>
      </c>
      <c r="G204" s="124">
        <f>(G199*$I192)+(G199*$I193)+(G199*$I194)+(G199*$I195)+(G199*$I196)+(G199*$I197)+(G199*$I198)</f>
        <v>0</v>
      </c>
      <c r="H204" s="124">
        <f>(H199*$I192)+(H199*$I193)+(H199*$I194)+(H199*$I195)+(H199*$I196)+(H199*$I197)+(H199*$I198)</f>
        <v>0</v>
      </c>
      <c r="I204" s="125">
        <f>SUM(B204:H204)</f>
        <v>9801</v>
      </c>
      <c r="J204" s="127"/>
      <c r="K204" s="125" t="s">
        <v>32</v>
      </c>
      <c r="L204" s="44"/>
      <c r="M204" s="116"/>
      <c r="O204" s="187"/>
      <c r="P204" s="115"/>
      <c r="Q204" s="115"/>
      <c r="R204" s="115"/>
      <c r="S204" s="115"/>
      <c r="T204" s="115"/>
      <c r="U204" t="s">
        <v>111</v>
      </c>
      <c r="V204" s="103">
        <f>U201/U202</f>
        <v>0.53106825834098559</v>
      </c>
      <c r="W204" s="101"/>
      <c r="AA204" s="141" t="s">
        <v>135</v>
      </c>
      <c r="AB204" s="122">
        <f>AB200*AJ192</f>
        <v>36</v>
      </c>
      <c r="AC204" s="122">
        <f>AC200*AJ193</f>
        <v>1254</v>
      </c>
      <c r="AD204" s="122">
        <f>AD200*AJ194</f>
        <v>1254</v>
      </c>
      <c r="AE204" s="122">
        <f>AE200*AJ195</f>
        <v>0</v>
      </c>
      <c r="AF204" s="122">
        <f>AF200*AJ196</f>
        <v>0</v>
      </c>
      <c r="AG204" s="122">
        <f>AG200*AJ197</f>
        <v>0</v>
      </c>
      <c r="AH204" s="122">
        <f>AH200*AJ198</f>
        <v>0</v>
      </c>
      <c r="AI204" s="122">
        <f>AI200*AJ199</f>
        <v>15</v>
      </c>
      <c r="AJ204" s="123">
        <f>SUM(AB204:AI204)</f>
        <v>2559</v>
      </c>
      <c r="AK204" s="128"/>
      <c r="AL204" s="123"/>
      <c r="AM204" s="44"/>
    </row>
    <row r="205" spans="1:39" ht="30" thickTop="1" thickBot="1">
      <c r="A205" s="13"/>
      <c r="B205" s="115"/>
      <c r="C205" s="115"/>
      <c r="D205" s="115"/>
      <c r="E205" s="115"/>
      <c r="F205" s="115"/>
      <c r="G205" s="115"/>
      <c r="H205" s="115"/>
      <c r="I205" t="s">
        <v>110</v>
      </c>
      <c r="J205" s="102">
        <f>L202</f>
        <v>0.76767676767676762</v>
      </c>
      <c r="K205" s="104">
        <f>(J205-J206)/(1-J206)</f>
        <v>0.51304533789563711</v>
      </c>
      <c r="L205" s="44"/>
      <c r="M205" s="116"/>
      <c r="O205" s="13"/>
      <c r="P205" s="100"/>
      <c r="Q205" s="100"/>
      <c r="R205" s="100"/>
      <c r="S205" s="100"/>
      <c r="T205" s="100"/>
      <c r="U205" s="111"/>
      <c r="V205" s="132"/>
      <c r="W205" s="133"/>
      <c r="X205" s="49"/>
      <c r="AA205" s="142" t="s">
        <v>134</v>
      </c>
      <c r="AB205" s="124">
        <f>(AB200*$AJ192)+(AB200*$AJ193)+(AB200*$AJ194)+(AB200*$AJ195)+(AB200*$AJ196)+(AB200*$AJ197)+(AB200*$AJ198)+(AB200*$AJ199)</f>
        <v>3564</v>
      </c>
      <c r="AC205" s="124">
        <f t="shared" ref="AC205:AH205" si="129">(AC200*$AJ192)+(AC200*$AJ193)+(AC200*$AJ194)+(AC200*$AJ195)+(AC200*$AJ196)+(AC200*$AJ197)+(AC200*$AJ198)+(AC200*$AJ199)</f>
        <v>3762</v>
      </c>
      <c r="AD205" s="124">
        <f t="shared" si="129"/>
        <v>2178</v>
      </c>
      <c r="AE205" s="124">
        <f t="shared" si="129"/>
        <v>0</v>
      </c>
      <c r="AF205" s="124">
        <f t="shared" si="129"/>
        <v>0</v>
      </c>
      <c r="AG205" s="124">
        <f t="shared" si="129"/>
        <v>0</v>
      </c>
      <c r="AH205" s="124">
        <f t="shared" si="129"/>
        <v>0</v>
      </c>
      <c r="AI205" s="124">
        <f>(AI200*$AJ192)+(AI200*$AJ193)+(AI200*$AJ194)+(AI200*$AJ195)+(AI200*$AJ196)+(AI200*$AJ197)+(AI200*$AJ198)+(AI200*$AJ199)</f>
        <v>297</v>
      </c>
      <c r="AJ205" s="125">
        <f>SUM(AB205:AI205)</f>
        <v>9801</v>
      </c>
      <c r="AK205" s="127"/>
      <c r="AL205" s="125" t="s">
        <v>32</v>
      </c>
      <c r="AM205" s="44"/>
    </row>
    <row r="206" spans="1:39" ht="22" thickTop="1">
      <c r="A206" s="187"/>
      <c r="B206" s="115"/>
      <c r="C206" s="115"/>
      <c r="D206" s="115"/>
      <c r="E206" s="115"/>
      <c r="F206" s="115"/>
      <c r="G206" s="115"/>
      <c r="H206" s="115"/>
      <c r="I206" t="s">
        <v>111</v>
      </c>
      <c r="J206" s="103">
        <f>I203/I204</f>
        <v>0.522905825936129</v>
      </c>
      <c r="K206" s="101"/>
      <c r="O206" s="24"/>
      <c r="P206" s="100"/>
      <c r="Q206" s="100"/>
      <c r="R206" s="100"/>
      <c r="S206" s="100"/>
      <c r="T206" s="100"/>
      <c r="U206" s="111"/>
      <c r="V206" s="132"/>
      <c r="W206" s="101"/>
      <c r="X206" s="24"/>
      <c r="AA206" s="187"/>
      <c r="AB206" s="13"/>
      <c r="AC206" s="115"/>
      <c r="AD206" s="115"/>
      <c r="AE206" s="115"/>
      <c r="AF206" s="115"/>
      <c r="AG206" s="115"/>
      <c r="AJ206" t="s">
        <v>110</v>
      </c>
      <c r="AK206" s="102">
        <f>AM203</f>
        <v>0.5252525252525253</v>
      </c>
      <c r="AL206" s="104">
        <f>(AK206-AK207)/(1-AK207)</f>
        <v>0.35749792874896441</v>
      </c>
      <c r="AM206" s="44"/>
    </row>
    <row r="207" spans="1:39" ht="21">
      <c r="A207" s="24"/>
      <c r="B207" s="126"/>
      <c r="C207" s="126"/>
      <c r="D207" s="126"/>
      <c r="E207" s="126"/>
      <c r="F207" s="126"/>
      <c r="G207" s="126"/>
      <c r="H207" s="126"/>
      <c r="I207" s="134"/>
      <c r="J207" s="135"/>
      <c r="K207" s="136"/>
      <c r="O207" s="24"/>
      <c r="P207" s="24"/>
      <c r="Q207" s="24"/>
      <c r="R207" s="24"/>
      <c r="S207" s="24"/>
      <c r="T207" s="24"/>
      <c r="U207" s="24"/>
      <c r="V207" s="24"/>
      <c r="W207" s="24"/>
      <c r="X207" s="24"/>
      <c r="AA207" s="59"/>
      <c r="AB207" s="187"/>
      <c r="AC207" s="115"/>
      <c r="AD207" s="115"/>
      <c r="AE207" s="115"/>
      <c r="AF207" s="115"/>
      <c r="AG207" s="115"/>
      <c r="AJ207" t="s">
        <v>111</v>
      </c>
      <c r="AK207" s="103">
        <f>AJ204/AJ205</f>
        <v>0.26109580655035203</v>
      </c>
      <c r="AL207" s="101"/>
    </row>
    <row r="208" spans="1:39" ht="21">
      <c r="A208" s="24"/>
      <c r="B208" s="126"/>
      <c r="C208" s="126"/>
      <c r="D208" s="126"/>
      <c r="E208" s="126"/>
      <c r="F208" s="126"/>
      <c r="G208" s="126"/>
      <c r="H208" s="126"/>
      <c r="I208" s="137"/>
      <c r="J208" s="134"/>
      <c r="K208" s="135"/>
      <c r="O208" s="24"/>
      <c r="P208" s="24"/>
      <c r="Q208" s="24"/>
      <c r="R208" s="24"/>
      <c r="S208" s="24"/>
      <c r="T208" s="24"/>
      <c r="U208" s="24"/>
      <c r="V208" s="24"/>
      <c r="W208" s="24"/>
      <c r="X208" s="24"/>
      <c r="AA208" s="24"/>
      <c r="AB208" s="126"/>
      <c r="AC208" s="126"/>
      <c r="AD208" s="126"/>
      <c r="AE208" s="126"/>
      <c r="AF208" s="126"/>
      <c r="AG208" s="126"/>
      <c r="AH208" s="126"/>
      <c r="AI208" s="126"/>
      <c r="AJ208" s="137"/>
      <c r="AK208" s="137"/>
      <c r="AL208" s="137"/>
    </row>
    <row r="209" spans="1:39" ht="21">
      <c r="A209" s="24"/>
      <c r="B209" s="126"/>
      <c r="C209" s="126"/>
      <c r="D209" s="126"/>
      <c r="E209" s="126"/>
      <c r="F209" s="126"/>
      <c r="G209" s="126"/>
      <c r="H209" s="126"/>
      <c r="I209" s="137"/>
      <c r="J209" s="138"/>
      <c r="K209" s="139"/>
      <c r="O209" s="24"/>
      <c r="P209" s="24"/>
      <c r="Q209" s="24"/>
      <c r="R209" s="24"/>
      <c r="S209" s="24"/>
      <c r="T209" s="24"/>
      <c r="U209" s="24"/>
      <c r="V209" s="24"/>
      <c r="W209" s="24"/>
      <c r="X209" s="24"/>
      <c r="AA209" s="24"/>
      <c r="AB209" s="126"/>
      <c r="AC209" s="126"/>
      <c r="AD209" s="126"/>
      <c r="AE209" s="126"/>
      <c r="AF209" s="126"/>
      <c r="AG209" s="126"/>
      <c r="AH209" s="126"/>
      <c r="AI209" s="126"/>
      <c r="AJ209" s="137"/>
      <c r="AK209" s="137"/>
      <c r="AL209" s="137"/>
    </row>
    <row r="210" spans="1:39" ht="17" thickBot="1">
      <c r="A210" s="188" t="s">
        <v>8</v>
      </c>
      <c r="B210" s="188"/>
      <c r="C210" s="188"/>
      <c r="D210" s="188"/>
      <c r="E210" s="188"/>
      <c r="F210" s="188"/>
      <c r="G210" s="188"/>
      <c r="H210" s="188"/>
      <c r="I210" s="188"/>
      <c r="J210" s="188"/>
      <c r="K210" s="188"/>
      <c r="L210" s="6"/>
      <c r="M210" s="112"/>
      <c r="O210" s="188" t="s">
        <v>8</v>
      </c>
      <c r="P210" s="188"/>
      <c r="Q210" s="188"/>
      <c r="R210" s="188"/>
      <c r="S210" s="188"/>
      <c r="T210" s="188"/>
      <c r="U210" s="188"/>
      <c r="V210" s="188"/>
      <c r="W210" s="188"/>
      <c r="X210" s="190"/>
      <c r="AA210" s="188" t="s">
        <v>8</v>
      </c>
      <c r="AB210" s="188"/>
      <c r="AC210" s="188"/>
      <c r="AD210" s="188"/>
      <c r="AE210" s="188"/>
      <c r="AF210" s="188"/>
      <c r="AG210" s="188"/>
      <c r="AH210" s="188"/>
      <c r="AI210" s="188"/>
      <c r="AJ210" s="188"/>
      <c r="AK210" s="188"/>
      <c r="AL210" s="6"/>
    </row>
    <row r="211" spans="1:39" ht="91" thickBot="1">
      <c r="A211" s="8" t="s">
        <v>65</v>
      </c>
      <c r="B211" s="9" t="s">
        <v>10</v>
      </c>
      <c r="C211" s="9" t="s">
        <v>11</v>
      </c>
      <c r="D211" s="9" t="s">
        <v>12</v>
      </c>
      <c r="E211" s="9" t="s">
        <v>13</v>
      </c>
      <c r="F211" s="9" t="s">
        <v>14</v>
      </c>
      <c r="G211" s="9" t="s">
        <v>15</v>
      </c>
      <c r="H211" s="9" t="s">
        <v>16</v>
      </c>
      <c r="I211" s="10" t="s">
        <v>17</v>
      </c>
      <c r="J211" s="11" t="s">
        <v>18</v>
      </c>
      <c r="K211" s="12" t="s">
        <v>19</v>
      </c>
      <c r="L211" s="13"/>
      <c r="M211" s="114"/>
      <c r="O211" s="8" t="s">
        <v>66</v>
      </c>
      <c r="P211" s="9" t="s">
        <v>10</v>
      </c>
      <c r="Q211" s="9" t="s">
        <v>11</v>
      </c>
      <c r="R211" s="9" t="s">
        <v>21</v>
      </c>
      <c r="S211" s="9" t="s">
        <v>22</v>
      </c>
      <c r="T211" s="9" t="s">
        <v>16</v>
      </c>
      <c r="U211" s="10" t="s">
        <v>17</v>
      </c>
      <c r="V211" s="15" t="s">
        <v>18</v>
      </c>
      <c r="W211" s="12" t="s">
        <v>19</v>
      </c>
      <c r="X211" s="16"/>
      <c r="AA211" s="8" t="s">
        <v>67</v>
      </c>
      <c r="AB211" s="17" t="s">
        <v>24</v>
      </c>
      <c r="AC211" s="17" t="s">
        <v>25</v>
      </c>
      <c r="AD211" s="17" t="s">
        <v>26</v>
      </c>
      <c r="AE211" s="17" t="s">
        <v>27</v>
      </c>
      <c r="AF211" s="17" t="s">
        <v>28</v>
      </c>
      <c r="AG211" s="17" t="s">
        <v>29</v>
      </c>
      <c r="AH211" s="17" t="s">
        <v>30</v>
      </c>
      <c r="AI211" s="17" t="s">
        <v>16</v>
      </c>
      <c r="AJ211" s="18" t="s">
        <v>17</v>
      </c>
      <c r="AK211" s="18" t="s">
        <v>18</v>
      </c>
      <c r="AL211" s="19" t="s">
        <v>19</v>
      </c>
    </row>
    <row r="212" spans="1:39" ht="56">
      <c r="A212" s="20" t="s">
        <v>10</v>
      </c>
      <c r="B212" s="13"/>
      <c r="C212" s="13"/>
      <c r="D212" s="13"/>
      <c r="E212" s="13">
        <v>1</v>
      </c>
      <c r="F212" s="13"/>
      <c r="G212" s="13"/>
      <c r="H212" s="13"/>
      <c r="I212" s="21">
        <f t="shared" ref="I212:I219" si="130">SUM(B212:H212)</f>
        <v>1</v>
      </c>
      <c r="J212" s="22">
        <f>1-K212</f>
        <v>1</v>
      </c>
      <c r="K212" s="23">
        <f>0/8</f>
        <v>0</v>
      </c>
      <c r="L212" s="21"/>
      <c r="M212" s="115"/>
      <c r="O212" s="20" t="s">
        <v>10</v>
      </c>
      <c r="P212" s="13"/>
      <c r="Q212" s="13"/>
      <c r="R212" s="13">
        <v>1</v>
      </c>
      <c r="S212" s="13"/>
      <c r="T212" s="13"/>
      <c r="U212" s="21">
        <f t="shared" ref="U212:U217" si="131">SUM(P212:T212)</f>
        <v>1</v>
      </c>
      <c r="V212" s="25">
        <f>1-W212</f>
        <v>1</v>
      </c>
      <c r="W212" s="23">
        <f>P212/U212</f>
        <v>0</v>
      </c>
      <c r="X212" s="21"/>
      <c r="AA212" s="26" t="s">
        <v>24</v>
      </c>
      <c r="AB212" s="27"/>
      <c r="AC212" s="28"/>
      <c r="AD212" s="28"/>
      <c r="AE212" s="28"/>
      <c r="AF212" s="28"/>
      <c r="AG212" s="28"/>
      <c r="AH212" s="28"/>
      <c r="AJ212" s="29">
        <f t="shared" ref="AJ212:AJ218" si="132">SUM(AB212:AH212)</f>
        <v>0</v>
      </c>
      <c r="AK212" s="30">
        <f>1-AL212</f>
        <v>0</v>
      </c>
      <c r="AL212" s="31">
        <v>1</v>
      </c>
    </row>
    <row r="213" spans="1:39" ht="45">
      <c r="A213" s="20" t="s">
        <v>11</v>
      </c>
      <c r="B213" s="13"/>
      <c r="C213" s="13"/>
      <c r="D213" s="13"/>
      <c r="E213" s="13"/>
      <c r="F213" s="13"/>
      <c r="G213" s="13"/>
      <c r="H213" s="13"/>
      <c r="I213" s="21">
        <f t="shared" si="130"/>
        <v>0</v>
      </c>
      <c r="J213" s="22">
        <f t="shared" ref="J213:J218" si="133">1-K213</f>
        <v>0</v>
      </c>
      <c r="K213" s="23">
        <v>1</v>
      </c>
      <c r="L213" s="21"/>
      <c r="M213" s="115"/>
      <c r="O213" s="20" t="s">
        <v>11</v>
      </c>
      <c r="P213" s="13"/>
      <c r="Q213" s="13"/>
      <c r="R213" s="13"/>
      <c r="S213" s="13"/>
      <c r="T213" s="13"/>
      <c r="U213" s="21">
        <f t="shared" si="131"/>
        <v>0</v>
      </c>
      <c r="V213" s="25">
        <f t="shared" ref="V213:V216" si="134">1-W213</f>
        <v>0</v>
      </c>
      <c r="W213" s="23">
        <v>1</v>
      </c>
      <c r="X213" s="21"/>
      <c r="AA213" s="32" t="s">
        <v>25</v>
      </c>
      <c r="AB213" s="16">
        <v>2</v>
      </c>
      <c r="AC213" s="13">
        <v>10</v>
      </c>
      <c r="AD213" s="13">
        <v>1</v>
      </c>
      <c r="AE213" s="13"/>
      <c r="AF213" s="13"/>
      <c r="AG213" s="13"/>
      <c r="AH213" s="13"/>
      <c r="AJ213" s="21">
        <f t="shared" si="132"/>
        <v>13</v>
      </c>
      <c r="AK213" s="25">
        <f>1-AL213</f>
        <v>0.23076923076923073</v>
      </c>
      <c r="AL213" s="23">
        <f>AC213/AJ213</f>
        <v>0.76923076923076927</v>
      </c>
    </row>
    <row r="214" spans="1:39" ht="45">
      <c r="A214" s="20" t="s">
        <v>12</v>
      </c>
      <c r="B214" s="13"/>
      <c r="C214" s="13"/>
      <c r="D214" s="13"/>
      <c r="E214" s="13"/>
      <c r="F214" s="13"/>
      <c r="G214" s="13"/>
      <c r="H214" s="13"/>
      <c r="I214" s="21">
        <f t="shared" si="130"/>
        <v>0</v>
      </c>
      <c r="J214" s="22">
        <f t="shared" si="133"/>
        <v>0</v>
      </c>
      <c r="K214" s="23">
        <v>1</v>
      </c>
      <c r="L214" s="21"/>
      <c r="M214" s="115"/>
      <c r="O214" s="20" t="s">
        <v>21</v>
      </c>
      <c r="P214" s="13"/>
      <c r="Q214" s="13"/>
      <c r="R214" s="13">
        <v>19</v>
      </c>
      <c r="S214" s="13">
        <v>3</v>
      </c>
      <c r="T214" s="13"/>
      <c r="U214" s="21">
        <f t="shared" si="131"/>
        <v>22</v>
      </c>
      <c r="V214" s="25">
        <f t="shared" si="134"/>
        <v>0.13636363636363635</v>
      </c>
      <c r="W214" s="23">
        <f>R214/U214</f>
        <v>0.86363636363636365</v>
      </c>
      <c r="X214" s="21"/>
      <c r="AA214" s="32" t="s">
        <v>26</v>
      </c>
      <c r="AB214" s="16">
        <v>30</v>
      </c>
      <c r="AC214" s="13">
        <v>27</v>
      </c>
      <c r="AD214" s="13">
        <v>21</v>
      </c>
      <c r="AE214" s="13"/>
      <c r="AF214" s="13"/>
      <c r="AG214" s="13"/>
      <c r="AH214" s="13"/>
      <c r="AJ214" s="21">
        <f t="shared" si="132"/>
        <v>78</v>
      </c>
      <c r="AK214" s="25">
        <f t="shared" ref="AK214:AK219" si="135">1-AL214</f>
        <v>0.73076923076923084</v>
      </c>
      <c r="AL214" s="23">
        <f>AD214/AJ214</f>
        <v>0.26923076923076922</v>
      </c>
    </row>
    <row r="215" spans="1:39" ht="42">
      <c r="A215" s="20" t="s">
        <v>13</v>
      </c>
      <c r="B215" s="13"/>
      <c r="C215" s="13"/>
      <c r="D215" s="13"/>
      <c r="E215" s="13">
        <v>19</v>
      </c>
      <c r="F215" s="13">
        <v>3</v>
      </c>
      <c r="G215" s="13"/>
      <c r="H215" s="13"/>
      <c r="I215" s="21">
        <f t="shared" si="130"/>
        <v>22</v>
      </c>
      <c r="J215" s="22">
        <f t="shared" si="133"/>
        <v>0.13636363636363635</v>
      </c>
      <c r="K215" s="23">
        <f>E215/I215</f>
        <v>0.86363636363636365</v>
      </c>
      <c r="L215" s="21"/>
      <c r="M215" s="115"/>
      <c r="O215" s="20" t="s">
        <v>22</v>
      </c>
      <c r="P215" s="13"/>
      <c r="Q215" s="13"/>
      <c r="R215" s="13">
        <v>17</v>
      </c>
      <c r="S215" s="13">
        <v>57</v>
      </c>
      <c r="T215" s="13"/>
      <c r="U215" s="21">
        <f t="shared" si="131"/>
        <v>74</v>
      </c>
      <c r="V215" s="25">
        <f t="shared" si="134"/>
        <v>0.22972972972972971</v>
      </c>
      <c r="W215" s="23">
        <f>S215/U215</f>
        <v>0.77027027027027029</v>
      </c>
      <c r="X215" s="21"/>
      <c r="AA215" s="32" t="s">
        <v>27</v>
      </c>
      <c r="AB215" s="16"/>
      <c r="AC215" s="13"/>
      <c r="AD215" s="13"/>
      <c r="AE215" s="13"/>
      <c r="AF215" s="13"/>
      <c r="AG215" s="13"/>
      <c r="AH215" s="13"/>
      <c r="AJ215" s="21">
        <f t="shared" si="132"/>
        <v>0</v>
      </c>
      <c r="AK215" s="25">
        <f t="shared" si="135"/>
        <v>0</v>
      </c>
      <c r="AL215" s="23">
        <v>1</v>
      </c>
    </row>
    <row r="216" spans="1:39" ht="45">
      <c r="A216" s="20" t="s">
        <v>14</v>
      </c>
      <c r="B216" s="13"/>
      <c r="C216" s="13"/>
      <c r="D216" s="13">
        <v>1</v>
      </c>
      <c r="E216" s="13">
        <v>16</v>
      </c>
      <c r="F216" s="13">
        <v>57</v>
      </c>
      <c r="G216" s="13"/>
      <c r="H216" s="13"/>
      <c r="I216" s="21">
        <f t="shared" si="130"/>
        <v>74</v>
      </c>
      <c r="J216" s="22">
        <f t="shared" si="133"/>
        <v>0.22972972972972971</v>
      </c>
      <c r="K216" s="23">
        <f>F216/I216</f>
        <v>0.77027027027027029</v>
      </c>
      <c r="L216" s="21"/>
      <c r="M216" s="115"/>
      <c r="O216" s="20" t="s">
        <v>16</v>
      </c>
      <c r="P216" s="13"/>
      <c r="Q216" s="13"/>
      <c r="R216" s="13">
        <v>1</v>
      </c>
      <c r="S216" s="13">
        <v>1</v>
      </c>
      <c r="T216" s="13"/>
      <c r="U216" s="21">
        <f t="shared" si="131"/>
        <v>2</v>
      </c>
      <c r="V216" s="25">
        <f t="shared" si="134"/>
        <v>1</v>
      </c>
      <c r="W216" s="23">
        <f>T216/U216</f>
        <v>0</v>
      </c>
      <c r="X216" s="21"/>
      <c r="AA216" s="32" t="s">
        <v>28</v>
      </c>
      <c r="AB216" s="16">
        <v>1</v>
      </c>
      <c r="AC216" s="13"/>
      <c r="AD216" s="13"/>
      <c r="AE216" s="13"/>
      <c r="AF216" s="13"/>
      <c r="AG216" s="13"/>
      <c r="AH216" s="13"/>
      <c r="AJ216" s="21">
        <f t="shared" si="132"/>
        <v>1</v>
      </c>
      <c r="AK216" s="25">
        <f t="shared" si="135"/>
        <v>1</v>
      </c>
      <c r="AL216" s="23">
        <f>AF216/AJ216</f>
        <v>0</v>
      </c>
    </row>
    <row r="217" spans="1:39" ht="30">
      <c r="A217" s="20" t="s">
        <v>15</v>
      </c>
      <c r="B217" s="13"/>
      <c r="C217" s="13"/>
      <c r="D217" s="13"/>
      <c r="E217" s="13"/>
      <c r="F217" s="13"/>
      <c r="G217" s="13"/>
      <c r="H217" s="13"/>
      <c r="I217" s="21">
        <f t="shared" si="130"/>
        <v>0</v>
      </c>
      <c r="J217" s="22">
        <f t="shared" si="133"/>
        <v>0</v>
      </c>
      <c r="K217" s="23">
        <v>1</v>
      </c>
      <c r="L217" s="21"/>
      <c r="M217" s="115"/>
      <c r="O217" s="33" t="s">
        <v>17</v>
      </c>
      <c r="P217" s="21">
        <f>SUM(P212:P216)</f>
        <v>0</v>
      </c>
      <c r="Q217" s="21">
        <f>SUM(Q212:Q216)</f>
        <v>0</v>
      </c>
      <c r="R217" s="21">
        <f>SUM(R212:R216)</f>
        <v>38</v>
      </c>
      <c r="S217" s="21">
        <f>SUM(S212:S216)</f>
        <v>61</v>
      </c>
      <c r="T217" s="21">
        <f>SUM(T212:T216)</f>
        <v>0</v>
      </c>
      <c r="U217" s="21">
        <f t="shared" si="131"/>
        <v>99</v>
      </c>
      <c r="V217" s="21"/>
      <c r="W217" s="34"/>
      <c r="X217" s="21"/>
      <c r="AA217" s="32" t="s">
        <v>29</v>
      </c>
      <c r="AB217" s="16"/>
      <c r="AC217" s="13"/>
      <c r="AD217" s="13"/>
      <c r="AE217" s="13"/>
      <c r="AF217" s="13"/>
      <c r="AG217" s="13"/>
      <c r="AH217" s="13"/>
      <c r="AJ217" s="21">
        <f t="shared" si="132"/>
        <v>0</v>
      </c>
      <c r="AK217" s="25">
        <f t="shared" si="135"/>
        <v>0</v>
      </c>
      <c r="AL217" s="23">
        <v>1</v>
      </c>
    </row>
    <row r="218" spans="1:39" ht="45">
      <c r="A218" s="20" t="s">
        <v>16</v>
      </c>
      <c r="B218" s="13"/>
      <c r="C218" s="13"/>
      <c r="D218" s="13">
        <v>1</v>
      </c>
      <c r="E218" s="13"/>
      <c r="F218" s="13">
        <v>1</v>
      </c>
      <c r="G218" s="13"/>
      <c r="H218" s="13"/>
      <c r="I218" s="21">
        <f t="shared" si="130"/>
        <v>2</v>
      </c>
      <c r="J218" s="22">
        <f t="shared" si="133"/>
        <v>1</v>
      </c>
      <c r="K218" s="23">
        <f>H218/I218</f>
        <v>0</v>
      </c>
      <c r="L218" s="21"/>
      <c r="M218" s="115"/>
      <c r="O218" s="33" t="s">
        <v>31</v>
      </c>
      <c r="P218" s="25">
        <f>1-P219</f>
        <v>0</v>
      </c>
      <c r="Q218" s="25">
        <f t="shared" ref="Q218:T218" si="136">1-Q219</f>
        <v>0</v>
      </c>
      <c r="R218" s="25">
        <f t="shared" si="136"/>
        <v>0.5</v>
      </c>
      <c r="S218" s="25">
        <f t="shared" si="136"/>
        <v>6.557377049180324E-2</v>
      </c>
      <c r="T218" s="25">
        <f t="shared" si="136"/>
        <v>0</v>
      </c>
      <c r="U218" s="13"/>
      <c r="V218" s="46" t="s">
        <v>32</v>
      </c>
      <c r="W218" s="36">
        <f>W223</f>
        <v>0.4884295663895753</v>
      </c>
      <c r="X218" s="21"/>
      <c r="AA218" s="32" t="s">
        <v>30</v>
      </c>
      <c r="AB218" s="16">
        <v>1</v>
      </c>
      <c r="AC218" s="13"/>
      <c r="AD218" s="13"/>
      <c r="AE218" s="13"/>
      <c r="AF218" s="13"/>
      <c r="AG218" s="13"/>
      <c r="AH218" s="13"/>
      <c r="AJ218" s="21">
        <f t="shared" si="132"/>
        <v>1</v>
      </c>
      <c r="AK218" s="25">
        <f t="shared" si="135"/>
        <v>1</v>
      </c>
      <c r="AL218" s="23">
        <f>AH218/AJ218</f>
        <v>0</v>
      </c>
    </row>
    <row r="219" spans="1:39" ht="29" thickBot="1">
      <c r="A219" s="33" t="s">
        <v>17</v>
      </c>
      <c r="B219" s="21">
        <f t="shared" ref="B219:H219" si="137">SUM(B212:B218)</f>
        <v>0</v>
      </c>
      <c r="C219" s="21">
        <f t="shared" si="137"/>
        <v>0</v>
      </c>
      <c r="D219" s="21">
        <f t="shared" si="137"/>
        <v>2</v>
      </c>
      <c r="E219" s="21">
        <f t="shared" si="137"/>
        <v>36</v>
      </c>
      <c r="F219" s="21">
        <f t="shared" si="137"/>
        <v>61</v>
      </c>
      <c r="G219" s="21">
        <f t="shared" si="137"/>
        <v>0</v>
      </c>
      <c r="H219" s="21">
        <f t="shared" si="137"/>
        <v>0</v>
      </c>
      <c r="I219" s="21">
        <f t="shared" si="130"/>
        <v>99</v>
      </c>
      <c r="J219" s="37"/>
      <c r="K219" s="34"/>
      <c r="L219" s="21"/>
      <c r="M219" s="115"/>
      <c r="O219" s="38" t="s">
        <v>33</v>
      </c>
      <c r="P219" s="39">
        <v>1</v>
      </c>
      <c r="Q219" s="40">
        <v>1</v>
      </c>
      <c r="R219" s="40">
        <f>R214/R217</f>
        <v>0.5</v>
      </c>
      <c r="S219" s="40">
        <f>S215/S217</f>
        <v>0.93442622950819676</v>
      </c>
      <c r="T219" s="39">
        <v>1</v>
      </c>
      <c r="U219" s="41"/>
      <c r="V219" s="52" t="s">
        <v>34</v>
      </c>
      <c r="W219" s="43">
        <f>X220</f>
        <v>0.76767676767676762</v>
      </c>
      <c r="X219" s="44"/>
      <c r="AA219" s="60" t="s">
        <v>16</v>
      </c>
      <c r="AB219" s="16">
        <v>2</v>
      </c>
      <c r="AC219" s="24">
        <v>1</v>
      </c>
      <c r="AD219" s="24"/>
      <c r="AE219" s="24"/>
      <c r="AF219" s="24"/>
      <c r="AG219" s="24"/>
      <c r="AH219" s="24"/>
      <c r="AI219" s="24">
        <v>3</v>
      </c>
      <c r="AJ219" s="21">
        <f>SUM(AB219:AI219)</f>
        <v>6</v>
      </c>
      <c r="AK219" s="25">
        <f t="shared" si="135"/>
        <v>0.5</v>
      </c>
      <c r="AL219" s="23">
        <f>AI219/AJ219</f>
        <v>0.5</v>
      </c>
    </row>
    <row r="220" spans="1:39" ht="28">
      <c r="A220" s="33" t="s">
        <v>31</v>
      </c>
      <c r="B220" s="25">
        <f>1-B221</f>
        <v>0</v>
      </c>
      <c r="C220" s="25">
        <f t="shared" ref="C220:H220" si="138">1-C221</f>
        <v>0</v>
      </c>
      <c r="D220" s="25">
        <f t="shared" si="138"/>
        <v>1</v>
      </c>
      <c r="E220" s="25">
        <f t="shared" si="138"/>
        <v>0.47222222222222221</v>
      </c>
      <c r="F220" s="25">
        <f t="shared" si="138"/>
        <v>6.557377049180324E-2</v>
      </c>
      <c r="G220" s="25">
        <f t="shared" si="138"/>
        <v>0</v>
      </c>
      <c r="H220" s="25">
        <f t="shared" si="138"/>
        <v>0</v>
      </c>
      <c r="I220" s="49"/>
      <c r="J220" s="46" t="s">
        <v>32</v>
      </c>
      <c r="K220" s="36">
        <f>K225</f>
        <v>0.49343715239154606</v>
      </c>
      <c r="L220" s="21"/>
      <c r="M220" s="115"/>
      <c r="O220" s="129" t="s">
        <v>136</v>
      </c>
      <c r="V220" s="4"/>
      <c r="X220" s="50">
        <f>SUM(P212,Q213,R214,S215,T216)/U217</f>
        <v>0.76767676767676762</v>
      </c>
      <c r="AA220" s="33" t="s">
        <v>17</v>
      </c>
      <c r="AB220" s="21">
        <f t="shared" ref="AB220:AH220" si="139">SUM(AB212:AB219)</f>
        <v>36</v>
      </c>
      <c r="AC220" s="21">
        <f t="shared" si="139"/>
        <v>38</v>
      </c>
      <c r="AD220" s="21">
        <f t="shared" si="139"/>
        <v>22</v>
      </c>
      <c r="AE220" s="21">
        <f t="shared" si="139"/>
        <v>0</v>
      </c>
      <c r="AF220" s="21">
        <f t="shared" si="139"/>
        <v>0</v>
      </c>
      <c r="AG220" s="21">
        <f t="shared" si="139"/>
        <v>0</v>
      </c>
      <c r="AH220" s="21">
        <f t="shared" si="139"/>
        <v>0</v>
      </c>
      <c r="AI220" s="21">
        <f>SUM(AI212:AI219)</f>
        <v>3</v>
      </c>
      <c r="AJ220" s="21">
        <f>SUM(AB220:AI220)</f>
        <v>99</v>
      </c>
      <c r="AL220" s="51"/>
    </row>
    <row r="221" spans="1:39" ht="29" thickBot="1">
      <c r="A221" s="38" t="s">
        <v>33</v>
      </c>
      <c r="B221" s="39">
        <v>1</v>
      </c>
      <c r="C221" s="40">
        <v>1</v>
      </c>
      <c r="D221" s="40">
        <f>D214/D219</f>
        <v>0</v>
      </c>
      <c r="E221" s="40">
        <f>E215/E219</f>
        <v>0.52777777777777779</v>
      </c>
      <c r="F221" s="40">
        <f>F216/F219</f>
        <v>0.93442622950819676</v>
      </c>
      <c r="G221" s="40">
        <v>1</v>
      </c>
      <c r="H221" s="39">
        <v>1</v>
      </c>
      <c r="I221" s="41"/>
      <c r="J221" s="52" t="s">
        <v>34</v>
      </c>
      <c r="K221" s="43">
        <f>L222</f>
        <v>0.76767676767676762</v>
      </c>
      <c r="L221" s="44"/>
      <c r="M221" s="116"/>
      <c r="O221" s="141" t="s">
        <v>135</v>
      </c>
      <c r="P221" s="122">
        <f>P217*U212</f>
        <v>0</v>
      </c>
      <c r="Q221" s="122">
        <f>Q217*U213</f>
        <v>0</v>
      </c>
      <c r="R221" s="122">
        <f>R217*U214</f>
        <v>836</v>
      </c>
      <c r="S221" s="122">
        <f>S217*U215</f>
        <v>4514</v>
      </c>
      <c r="T221" s="122">
        <f>T217*U216</f>
        <v>0</v>
      </c>
      <c r="U221" s="123">
        <f>SUM(N221:T221)</f>
        <v>5350</v>
      </c>
      <c r="V221" s="128"/>
      <c r="W221" s="123"/>
      <c r="X221" s="44"/>
      <c r="AA221" s="33" t="s">
        <v>35</v>
      </c>
      <c r="AB221" s="53">
        <f>1-AB222</f>
        <v>1</v>
      </c>
      <c r="AC221" s="54">
        <f>1-AC222</f>
        <v>0.73684210526315796</v>
      </c>
      <c r="AD221" s="54">
        <f t="shared" ref="AD221:AI221" si="140">1-AD222</f>
        <v>4.5454545454545414E-2</v>
      </c>
      <c r="AE221" s="54">
        <f t="shared" si="140"/>
        <v>0</v>
      </c>
      <c r="AF221" s="54">
        <f t="shared" si="140"/>
        <v>0</v>
      </c>
      <c r="AG221" s="54">
        <f t="shared" si="140"/>
        <v>0</v>
      </c>
      <c r="AH221" s="54">
        <f t="shared" si="140"/>
        <v>0</v>
      </c>
      <c r="AI221" s="54">
        <f t="shared" si="140"/>
        <v>0</v>
      </c>
      <c r="AK221" s="35" t="s">
        <v>32</v>
      </c>
      <c r="AL221" s="36">
        <f>AL226</f>
        <v>0.15027069853426647</v>
      </c>
    </row>
    <row r="222" spans="1:39" ht="33" thickBot="1">
      <c r="A222" s="129" t="s">
        <v>136</v>
      </c>
      <c r="L222" s="50">
        <f>SUM(B212,C213,D214,E215,F216,G217,H218)/I219</f>
        <v>0.76767676767676762</v>
      </c>
      <c r="M222" s="113"/>
      <c r="O222" s="142" t="s">
        <v>134</v>
      </c>
      <c r="P222" s="124">
        <f>(P217*$U212)+(P217*$U213)+(P217*$U214)+(P217*$U215)+(P217*$U216)</f>
        <v>0</v>
      </c>
      <c r="Q222" s="124">
        <f t="shared" ref="Q222:T222" si="141">(Q217*$U212)+(Q217*$U213)+(Q217*$U214)+(Q217*$U215)+(Q217*$U216)</f>
        <v>0</v>
      </c>
      <c r="R222" s="124">
        <f t="shared" si="141"/>
        <v>3762</v>
      </c>
      <c r="S222" s="124">
        <f t="shared" si="141"/>
        <v>6039</v>
      </c>
      <c r="T222" s="124">
        <f t="shared" si="141"/>
        <v>0</v>
      </c>
      <c r="U222" s="125">
        <f>SUM(N222:T222)</f>
        <v>9801</v>
      </c>
      <c r="V222" s="127"/>
      <c r="W222" s="125" t="s">
        <v>32</v>
      </c>
      <c r="X222" s="44"/>
      <c r="AA222" s="38" t="s">
        <v>33</v>
      </c>
      <c r="AB222" s="56">
        <f>AB212/AB220</f>
        <v>0</v>
      </c>
      <c r="AC222" s="57">
        <f>AC213/AC220</f>
        <v>0.26315789473684209</v>
      </c>
      <c r="AD222" s="57">
        <f>AD214/AD220</f>
        <v>0.95454545454545459</v>
      </c>
      <c r="AE222" s="57">
        <v>1</v>
      </c>
      <c r="AF222" s="57">
        <v>1</v>
      </c>
      <c r="AG222" s="57">
        <v>1</v>
      </c>
      <c r="AH222" s="57">
        <v>1</v>
      </c>
      <c r="AI222" s="57">
        <v>1</v>
      </c>
      <c r="AJ222" s="41"/>
      <c r="AK222" s="42" t="s">
        <v>34</v>
      </c>
      <c r="AL222" s="43">
        <f>AM223</f>
        <v>0.34343434343434343</v>
      </c>
    </row>
    <row r="223" spans="1:39" ht="22" thickTop="1">
      <c r="A223" s="130" t="s">
        <v>135</v>
      </c>
      <c r="B223" s="122">
        <f>B219*I212</f>
        <v>0</v>
      </c>
      <c r="C223" s="122">
        <f>C219*I213</f>
        <v>0</v>
      </c>
      <c r="D223" s="122">
        <f>D219*I214</f>
        <v>0</v>
      </c>
      <c r="E223" s="122">
        <f>E219*I215</f>
        <v>792</v>
      </c>
      <c r="F223" s="122">
        <f>F219*I216</f>
        <v>4514</v>
      </c>
      <c r="G223" s="122">
        <f>G219*I217</f>
        <v>0</v>
      </c>
      <c r="H223" s="122">
        <f>H219*I218</f>
        <v>0</v>
      </c>
      <c r="I223" s="123">
        <f>SUM(B223:H223)</f>
        <v>5306</v>
      </c>
      <c r="J223" s="128"/>
      <c r="K223" s="123"/>
      <c r="L223" s="44"/>
      <c r="M223" s="116"/>
      <c r="O223" s="13"/>
      <c r="P223" s="115"/>
      <c r="Q223" s="115"/>
      <c r="R223" s="115"/>
      <c r="S223" s="115"/>
      <c r="T223" s="115"/>
      <c r="U223" t="s">
        <v>110</v>
      </c>
      <c r="V223" s="102">
        <f>X220</f>
        <v>0.76767676767676762</v>
      </c>
      <c r="W223" s="104">
        <f>(V223-V224)/(1-V224)</f>
        <v>0.4884295663895753</v>
      </c>
      <c r="X223" s="44"/>
      <c r="AA223" s="129" t="s">
        <v>136</v>
      </c>
      <c r="AK223" s="4"/>
      <c r="AM223" s="50">
        <f>SUM(AB212,AC213,AD214,AE215,AF216,AG217,AH218,AI219)/AJ220</f>
        <v>0.34343434343434343</v>
      </c>
    </row>
    <row r="224" spans="1:39" ht="29" thickBot="1">
      <c r="A224" s="131" t="s">
        <v>134</v>
      </c>
      <c r="B224" s="124">
        <f>(B219*$I212)+(B219*$I213)+(B219*$I214)+(B219*$I215)+(B219*$I216)+(B219*$I217)+(B219*$I218)</f>
        <v>0</v>
      </c>
      <c r="C224" s="124">
        <f>(C219*$I212)+(C219*$I213)+(C219*$I214)+(C219*$I215)+(C219*$I216)+(C219*$I217)+(C219*$I218)</f>
        <v>0</v>
      </c>
      <c r="D224" s="124">
        <f>(D219*$I212)+(D219*$I213)+(D219*$I214)+(D219*$I215)+(D219*$I216)+(D219*$I217)+(D219*$I218)</f>
        <v>198</v>
      </c>
      <c r="E224" s="124">
        <f>(E219*$I212)+(E219*$I213)+(E219*$I214)+(E219*$I215)+(E219*$I216)+(E219*$I217)+(E219*$I218)</f>
        <v>3564</v>
      </c>
      <c r="F224" s="124">
        <f>(F219*$I212)+(F219*$I213)+(F219*$I214)+(F219*$I215)+(F219*$I216)+(F219*$I217)+(F219*$I218)</f>
        <v>6039</v>
      </c>
      <c r="G224" s="124">
        <f>(G219*$I212)+(G219*$I213)+(G219*$I214)+(G219*$I215)+(G219*$I216)+(G219*$I217)+(G219*$I218)</f>
        <v>0</v>
      </c>
      <c r="H224" s="124">
        <f>(H219*$I212)+(H219*$I213)+(H219*$I214)+(H219*$I215)+(H219*$I216)+(H219*$I217)+(H219*$I218)</f>
        <v>0</v>
      </c>
      <c r="I224" s="125">
        <f>SUM(B224:H224)</f>
        <v>9801</v>
      </c>
      <c r="J224" s="127"/>
      <c r="K224" s="125" t="s">
        <v>32</v>
      </c>
      <c r="L224" s="44"/>
      <c r="M224" s="116"/>
      <c r="O224" s="187"/>
      <c r="P224" s="115"/>
      <c r="Q224" s="115"/>
      <c r="R224" s="115"/>
      <c r="S224" s="115"/>
      <c r="T224" s="115"/>
      <c r="U224" t="s">
        <v>111</v>
      </c>
      <c r="V224" s="103">
        <f>U221/U222</f>
        <v>0.54586266707478825</v>
      </c>
      <c r="W224" s="101"/>
      <c r="AA224" s="141" t="s">
        <v>135</v>
      </c>
      <c r="AB224" s="122">
        <f>AB220*AJ212</f>
        <v>0</v>
      </c>
      <c r="AC224" s="122">
        <f>AC220*AJ213</f>
        <v>494</v>
      </c>
      <c r="AD224" s="122">
        <f>AD220*AJ214</f>
        <v>1716</v>
      </c>
      <c r="AE224" s="122">
        <f>AE220*AJ215</f>
        <v>0</v>
      </c>
      <c r="AF224" s="122">
        <f>AF220*AJ216</f>
        <v>0</v>
      </c>
      <c r="AG224" s="122">
        <f>AG220*AJ217</f>
        <v>0</v>
      </c>
      <c r="AH224" s="122">
        <f>AH220*AJ218</f>
        <v>0</v>
      </c>
      <c r="AI224" s="122">
        <f>AI220*AJ219</f>
        <v>18</v>
      </c>
      <c r="AJ224" s="123">
        <f>SUM(AB224:AI224)</f>
        <v>2228</v>
      </c>
      <c r="AK224" s="128"/>
      <c r="AL224" s="123"/>
      <c r="AM224" s="44"/>
    </row>
    <row r="225" spans="1:39" ht="30" thickTop="1" thickBot="1">
      <c r="A225" s="13"/>
      <c r="B225" s="115"/>
      <c r="C225" s="115"/>
      <c r="D225" s="115"/>
      <c r="E225" s="115"/>
      <c r="F225" s="115"/>
      <c r="G225" s="115"/>
      <c r="H225" s="115"/>
      <c r="I225" t="s">
        <v>110</v>
      </c>
      <c r="J225" s="102">
        <f>L222</f>
        <v>0.76767676767676762</v>
      </c>
      <c r="K225" s="104">
        <f>(J225-J226)/(1-J226)</f>
        <v>0.49343715239154606</v>
      </c>
      <c r="L225" s="44"/>
      <c r="M225" s="116"/>
      <c r="O225" s="13"/>
      <c r="P225" s="100"/>
      <c r="Q225" s="100"/>
      <c r="R225" s="100"/>
      <c r="S225" s="100"/>
      <c r="T225" s="100"/>
      <c r="U225" s="111"/>
      <c r="V225" s="132"/>
      <c r="W225" s="133"/>
      <c r="X225" s="49"/>
      <c r="AA225" s="142" t="s">
        <v>134</v>
      </c>
      <c r="AB225" s="124">
        <f>(AB220*$AJ212)+(AB220*$AJ213)+(AB220*$AJ214)+(AB220*$AJ215)+(AB220*$AJ216)+(AB220*$AJ217)+(AB220*$AJ218)+(AB220*$AJ219)</f>
        <v>3564</v>
      </c>
      <c r="AC225" s="124">
        <f t="shared" ref="AC225:AH225" si="142">(AC220*$AJ212)+(AC220*$AJ213)+(AC220*$AJ214)+(AC220*$AJ215)+(AC220*$AJ216)+(AC220*$AJ217)+(AC220*$AJ218)+(AC220*$AJ219)</f>
        <v>3762</v>
      </c>
      <c r="AD225" s="124">
        <f t="shared" si="142"/>
        <v>2178</v>
      </c>
      <c r="AE225" s="124">
        <f t="shared" si="142"/>
        <v>0</v>
      </c>
      <c r="AF225" s="124">
        <f t="shared" si="142"/>
        <v>0</v>
      </c>
      <c r="AG225" s="124">
        <f t="shared" si="142"/>
        <v>0</v>
      </c>
      <c r="AH225" s="124">
        <f t="shared" si="142"/>
        <v>0</v>
      </c>
      <c r="AI225" s="124">
        <f>(AI220*$AJ212)+(AI220*$AJ213)+(AI220*$AJ214)+(AI220*$AJ215)+(AI220*$AJ216)+(AI220*$AJ217)+(AI220*$AJ218)+(AI220*$AJ219)</f>
        <v>297</v>
      </c>
      <c r="AJ225" s="125">
        <f>SUM(AB225:AI225)</f>
        <v>9801</v>
      </c>
      <c r="AK225" s="127"/>
      <c r="AL225" s="125" t="s">
        <v>32</v>
      </c>
      <c r="AM225" s="44"/>
    </row>
    <row r="226" spans="1:39" ht="22" thickTop="1">
      <c r="A226" s="187"/>
      <c r="B226" s="115"/>
      <c r="C226" s="115"/>
      <c r="D226" s="115"/>
      <c r="E226" s="115"/>
      <c r="F226" s="115"/>
      <c r="G226" s="115"/>
      <c r="H226" s="115"/>
      <c r="I226" t="s">
        <v>111</v>
      </c>
      <c r="J226" s="103">
        <f>I223/I224</f>
        <v>0.54137332925211712</v>
      </c>
      <c r="K226" s="101"/>
      <c r="O226" s="24"/>
      <c r="P226" s="100"/>
      <c r="Q226" s="100"/>
      <c r="R226" s="100"/>
      <c r="S226" s="100"/>
      <c r="T226" s="100"/>
      <c r="U226" s="111"/>
      <c r="V226" s="132"/>
      <c r="W226" s="101"/>
      <c r="X226" s="24"/>
      <c r="AA226" s="187"/>
      <c r="AB226" s="13"/>
      <c r="AC226" s="115"/>
      <c r="AD226" s="115"/>
      <c r="AE226" s="115"/>
      <c r="AF226" s="115"/>
      <c r="AG226" s="115"/>
      <c r="AJ226" t="s">
        <v>110</v>
      </c>
      <c r="AK226" s="102">
        <f>AM223</f>
        <v>0.34343434343434343</v>
      </c>
      <c r="AL226" s="104">
        <f>(AK226-AK227)/(1-AK227)</f>
        <v>0.15027069853426647</v>
      </c>
      <c r="AM226" s="44"/>
    </row>
    <row r="227" spans="1:39" ht="21">
      <c r="A227" s="24"/>
      <c r="B227" s="126"/>
      <c r="C227" s="126"/>
      <c r="D227" s="126"/>
      <c r="E227" s="126"/>
      <c r="F227" s="126"/>
      <c r="G227" s="126"/>
      <c r="H227" s="126"/>
      <c r="I227" s="134"/>
      <c r="J227" s="135"/>
      <c r="K227" s="136"/>
      <c r="O227" s="24"/>
      <c r="P227" s="24"/>
      <c r="Q227" s="24"/>
      <c r="R227" s="24"/>
      <c r="S227" s="24"/>
      <c r="T227" s="24"/>
      <c r="U227" s="24"/>
      <c r="V227" s="24"/>
      <c r="W227" s="24"/>
      <c r="X227" s="24"/>
      <c r="AA227" s="59"/>
      <c r="AB227" s="187"/>
      <c r="AC227" s="115"/>
      <c r="AD227" s="115"/>
      <c r="AE227" s="115"/>
      <c r="AF227" s="115"/>
      <c r="AG227" s="115"/>
      <c r="AJ227" t="s">
        <v>111</v>
      </c>
      <c r="AK227" s="103">
        <f>AJ224/AJ225</f>
        <v>0.22732374247525763</v>
      </c>
      <c r="AL227" s="101"/>
    </row>
    <row r="228" spans="1:39">
      <c r="J228"/>
    </row>
    <row r="229" spans="1:39">
      <c r="J229"/>
    </row>
    <row r="230" spans="1:39" ht="17" thickBot="1">
      <c r="A230" s="188" t="s">
        <v>8</v>
      </c>
      <c r="B230" s="188"/>
      <c r="C230" s="188"/>
      <c r="D230" s="188"/>
      <c r="E230" s="188"/>
      <c r="F230" s="188"/>
      <c r="G230" s="188"/>
      <c r="H230" s="188"/>
      <c r="I230" s="188"/>
      <c r="J230" s="188"/>
      <c r="K230" s="188"/>
      <c r="L230" s="6"/>
      <c r="M230" s="112"/>
      <c r="O230" s="188" t="s">
        <v>8</v>
      </c>
      <c r="P230" s="188"/>
      <c r="Q230" s="188"/>
      <c r="R230" s="188"/>
      <c r="S230" s="188"/>
      <c r="T230" s="188"/>
      <c r="U230" s="188"/>
      <c r="V230" s="188"/>
      <c r="W230" s="188"/>
      <c r="X230" s="190"/>
      <c r="AA230" s="188" t="s">
        <v>8</v>
      </c>
      <c r="AB230" s="188"/>
      <c r="AC230" s="188"/>
      <c r="AD230" s="188"/>
      <c r="AE230" s="188"/>
      <c r="AF230" s="188"/>
      <c r="AG230" s="188"/>
      <c r="AH230" s="188"/>
      <c r="AI230" s="188"/>
      <c r="AJ230" s="188"/>
      <c r="AK230" s="188"/>
      <c r="AL230" s="6"/>
    </row>
    <row r="231" spans="1:39" ht="91" thickBot="1">
      <c r="A231" s="8" t="s">
        <v>68</v>
      </c>
      <c r="B231" s="9" t="s">
        <v>10</v>
      </c>
      <c r="C231" s="9" t="s">
        <v>11</v>
      </c>
      <c r="D231" s="9" t="s">
        <v>12</v>
      </c>
      <c r="E231" s="9" t="s">
        <v>13</v>
      </c>
      <c r="F231" s="9" t="s">
        <v>14</v>
      </c>
      <c r="G231" s="9" t="s">
        <v>15</v>
      </c>
      <c r="H231" s="9" t="s">
        <v>16</v>
      </c>
      <c r="I231" s="10" t="s">
        <v>17</v>
      </c>
      <c r="J231" s="11" t="s">
        <v>18</v>
      </c>
      <c r="K231" s="12" t="s">
        <v>19</v>
      </c>
      <c r="L231" s="13"/>
      <c r="M231" s="114"/>
      <c r="O231" s="8" t="s">
        <v>69</v>
      </c>
      <c r="P231" s="9" t="s">
        <v>10</v>
      </c>
      <c r="Q231" s="9" t="s">
        <v>11</v>
      </c>
      <c r="R231" s="9" t="s">
        <v>21</v>
      </c>
      <c r="S231" s="9" t="s">
        <v>22</v>
      </c>
      <c r="T231" s="9" t="s">
        <v>16</v>
      </c>
      <c r="U231" s="10" t="s">
        <v>17</v>
      </c>
      <c r="V231" s="15" t="s">
        <v>18</v>
      </c>
      <c r="W231" s="12" t="s">
        <v>19</v>
      </c>
      <c r="X231" s="16"/>
      <c r="AA231" s="8" t="s">
        <v>70</v>
      </c>
      <c r="AB231" s="17" t="s">
        <v>24</v>
      </c>
      <c r="AC231" s="17" t="s">
        <v>25</v>
      </c>
      <c r="AD231" s="17" t="s">
        <v>26</v>
      </c>
      <c r="AE231" s="17" t="s">
        <v>27</v>
      </c>
      <c r="AF231" s="17" t="s">
        <v>28</v>
      </c>
      <c r="AG231" s="17" t="s">
        <v>29</v>
      </c>
      <c r="AH231" s="17" t="s">
        <v>30</v>
      </c>
      <c r="AI231" s="17" t="s">
        <v>16</v>
      </c>
      <c r="AJ231" s="18" t="s">
        <v>17</v>
      </c>
      <c r="AK231" s="18" t="s">
        <v>18</v>
      </c>
      <c r="AL231" s="19" t="s">
        <v>19</v>
      </c>
    </row>
    <row r="232" spans="1:39" ht="56">
      <c r="A232" s="20" t="s">
        <v>10</v>
      </c>
      <c r="B232" s="13"/>
      <c r="C232" s="13"/>
      <c r="D232" s="13"/>
      <c r="E232" s="13"/>
      <c r="F232" s="13"/>
      <c r="G232" s="13"/>
      <c r="H232" s="13"/>
      <c r="I232" s="21">
        <f t="shared" ref="I232:I239" si="143">SUM(B232:H232)</f>
        <v>0</v>
      </c>
      <c r="J232" s="22">
        <f>1-K232</f>
        <v>1</v>
      </c>
      <c r="K232" s="23">
        <f>0/8</f>
        <v>0</v>
      </c>
      <c r="L232" s="21"/>
      <c r="M232" s="115"/>
      <c r="O232" s="20" t="s">
        <v>10</v>
      </c>
      <c r="P232" s="13"/>
      <c r="Q232" s="13"/>
      <c r="R232" s="13"/>
      <c r="S232" s="13"/>
      <c r="T232" s="13"/>
      <c r="U232" s="21">
        <f t="shared" ref="U232:U237" si="144">SUM(P232:T232)</f>
        <v>0</v>
      </c>
      <c r="V232" s="25">
        <f>1-W232</f>
        <v>0</v>
      </c>
      <c r="W232" s="23">
        <v>1</v>
      </c>
      <c r="X232" s="21"/>
      <c r="AA232" s="26" t="s">
        <v>24</v>
      </c>
      <c r="AB232" s="27"/>
      <c r="AC232" s="28"/>
      <c r="AD232" s="28"/>
      <c r="AE232" s="28"/>
      <c r="AF232" s="28"/>
      <c r="AG232" s="28"/>
      <c r="AH232" s="28"/>
      <c r="AJ232" s="29">
        <f t="shared" ref="AJ232:AJ238" si="145">SUM(AB232:AH232)</f>
        <v>0</v>
      </c>
      <c r="AK232" s="30">
        <f>1-AL232</f>
        <v>0</v>
      </c>
      <c r="AL232" s="31">
        <v>1</v>
      </c>
    </row>
    <row r="233" spans="1:39" ht="45">
      <c r="A233" s="20" t="s">
        <v>11</v>
      </c>
      <c r="B233" s="13"/>
      <c r="C233" s="13"/>
      <c r="D233" s="13"/>
      <c r="E233" s="13"/>
      <c r="F233" s="13"/>
      <c r="G233" s="13"/>
      <c r="H233" s="13"/>
      <c r="I233" s="21">
        <f t="shared" si="143"/>
        <v>0</v>
      </c>
      <c r="J233" s="22">
        <f t="shared" ref="J233:J238" si="146">1-K233</f>
        <v>0</v>
      </c>
      <c r="K233" s="23">
        <v>1</v>
      </c>
      <c r="L233" s="21"/>
      <c r="M233" s="115"/>
      <c r="O233" s="20" t="s">
        <v>11</v>
      </c>
      <c r="P233" s="13"/>
      <c r="Q233" s="13"/>
      <c r="R233" s="13"/>
      <c r="S233" s="13"/>
      <c r="T233" s="13"/>
      <c r="U233" s="21">
        <f t="shared" si="144"/>
        <v>0</v>
      </c>
      <c r="V233" s="25">
        <f t="shared" ref="V233:V236" si="147">1-W233</f>
        <v>0</v>
      </c>
      <c r="W233" s="23">
        <v>1</v>
      </c>
      <c r="X233" s="21"/>
      <c r="AA233" s="32" t="s">
        <v>25</v>
      </c>
      <c r="AB233" s="16"/>
      <c r="AC233" s="13"/>
      <c r="AD233" s="13"/>
      <c r="AE233" s="13"/>
      <c r="AF233" s="13"/>
      <c r="AG233" s="13"/>
      <c r="AH233" s="13"/>
      <c r="AJ233" s="21">
        <f t="shared" si="145"/>
        <v>0</v>
      </c>
      <c r="AK233" s="25">
        <f>1-AL233</f>
        <v>0</v>
      </c>
      <c r="AL233" s="23">
        <v>1</v>
      </c>
    </row>
    <row r="234" spans="1:39" ht="45">
      <c r="A234" s="20" t="s">
        <v>12</v>
      </c>
      <c r="B234" s="13"/>
      <c r="C234" s="13"/>
      <c r="D234" s="13"/>
      <c r="E234" s="13"/>
      <c r="F234" s="13"/>
      <c r="G234" s="13"/>
      <c r="H234" s="13"/>
      <c r="I234" s="21">
        <f t="shared" si="143"/>
        <v>0</v>
      </c>
      <c r="J234" s="22">
        <f t="shared" si="146"/>
        <v>0</v>
      </c>
      <c r="K234" s="23">
        <v>1</v>
      </c>
      <c r="L234" s="21"/>
      <c r="M234" s="115"/>
      <c r="O234" s="20" t="s">
        <v>21</v>
      </c>
      <c r="P234" s="13"/>
      <c r="Q234" s="13"/>
      <c r="R234" s="13">
        <v>12</v>
      </c>
      <c r="S234" s="13">
        <v>11</v>
      </c>
      <c r="T234" s="13"/>
      <c r="U234" s="21">
        <f t="shared" si="144"/>
        <v>23</v>
      </c>
      <c r="V234" s="25">
        <f t="shared" si="147"/>
        <v>0.47826086956521741</v>
      </c>
      <c r="W234" s="23">
        <f>R234/U234</f>
        <v>0.52173913043478259</v>
      </c>
      <c r="X234" s="21"/>
      <c r="AA234" s="32" t="s">
        <v>26</v>
      </c>
      <c r="AB234" s="16">
        <v>33</v>
      </c>
      <c r="AC234" s="13">
        <v>35</v>
      </c>
      <c r="AD234" s="13">
        <v>22</v>
      </c>
      <c r="AE234" s="13"/>
      <c r="AF234" s="13"/>
      <c r="AG234" s="13"/>
      <c r="AH234" s="13"/>
      <c r="AI234" s="24">
        <v>3</v>
      </c>
      <c r="AJ234" s="21">
        <f t="shared" si="145"/>
        <v>90</v>
      </c>
      <c r="AK234" s="25">
        <f t="shared" ref="AK234:AK239" si="148">1-AL234</f>
        <v>0.75555555555555554</v>
      </c>
      <c r="AL234" s="23">
        <f>AD234/AJ234</f>
        <v>0.24444444444444444</v>
      </c>
    </row>
    <row r="235" spans="1:39" ht="42">
      <c r="A235" s="20" t="s">
        <v>13</v>
      </c>
      <c r="B235" s="13"/>
      <c r="C235" s="13"/>
      <c r="D235" s="13"/>
      <c r="E235" s="13">
        <v>12</v>
      </c>
      <c r="F235" s="13">
        <v>11</v>
      </c>
      <c r="G235" s="13"/>
      <c r="H235" s="13"/>
      <c r="I235" s="21">
        <f t="shared" si="143"/>
        <v>23</v>
      </c>
      <c r="J235" s="22">
        <f t="shared" si="146"/>
        <v>0.47826086956521741</v>
      </c>
      <c r="K235" s="23">
        <f>E235/I235</f>
        <v>0.52173913043478259</v>
      </c>
      <c r="L235" s="21"/>
      <c r="M235" s="115"/>
      <c r="O235" s="20" t="s">
        <v>22</v>
      </c>
      <c r="P235" s="13"/>
      <c r="Q235" s="13"/>
      <c r="R235" s="13">
        <v>25</v>
      </c>
      <c r="S235" s="13">
        <v>50</v>
      </c>
      <c r="T235" s="13"/>
      <c r="U235" s="21">
        <f t="shared" si="144"/>
        <v>75</v>
      </c>
      <c r="V235" s="25">
        <f t="shared" si="147"/>
        <v>0.33333333333333337</v>
      </c>
      <c r="W235" s="23">
        <f>S235/U235</f>
        <v>0.66666666666666663</v>
      </c>
      <c r="X235" s="21"/>
      <c r="AA235" s="32" t="s">
        <v>27</v>
      </c>
      <c r="AB235" s="16"/>
      <c r="AC235" s="13"/>
      <c r="AD235" s="13"/>
      <c r="AE235" s="13"/>
      <c r="AF235" s="13"/>
      <c r="AG235" s="13"/>
      <c r="AH235" s="13"/>
      <c r="AJ235" s="21">
        <f t="shared" si="145"/>
        <v>0</v>
      </c>
      <c r="AK235" s="25">
        <f t="shared" si="148"/>
        <v>0</v>
      </c>
      <c r="AL235" s="23">
        <v>1</v>
      </c>
    </row>
    <row r="236" spans="1:39" ht="45">
      <c r="A236" s="20" t="s">
        <v>14</v>
      </c>
      <c r="B236" s="13"/>
      <c r="C236" s="13"/>
      <c r="D236" s="13">
        <v>1</v>
      </c>
      <c r="E236" s="13">
        <v>24</v>
      </c>
      <c r="F236" s="13">
        <v>50</v>
      </c>
      <c r="G236" s="13"/>
      <c r="H236" s="13"/>
      <c r="I236" s="21">
        <f t="shared" si="143"/>
        <v>75</v>
      </c>
      <c r="J236" s="22">
        <f t="shared" si="146"/>
        <v>0.33333333333333337</v>
      </c>
      <c r="K236" s="23">
        <f>F236/I236</f>
        <v>0.66666666666666663</v>
      </c>
      <c r="L236" s="21"/>
      <c r="M236" s="115"/>
      <c r="O236" s="20" t="s">
        <v>16</v>
      </c>
      <c r="P236" s="13"/>
      <c r="Q236" s="13"/>
      <c r="R236" s="13">
        <v>1</v>
      </c>
      <c r="S236" s="13"/>
      <c r="T236" s="13"/>
      <c r="U236" s="21">
        <f t="shared" si="144"/>
        <v>1</v>
      </c>
      <c r="V236" s="25">
        <f t="shared" si="147"/>
        <v>1</v>
      </c>
      <c r="W236" s="23">
        <f>T236/U236</f>
        <v>0</v>
      </c>
      <c r="X236" s="21"/>
      <c r="AA236" s="32" t="s">
        <v>28</v>
      </c>
      <c r="AB236" s="16">
        <v>1</v>
      </c>
      <c r="AC236" s="13"/>
      <c r="AD236" s="13"/>
      <c r="AE236" s="13"/>
      <c r="AF236" s="13"/>
      <c r="AG236" s="13"/>
      <c r="AH236" s="13"/>
      <c r="AJ236" s="21">
        <f t="shared" si="145"/>
        <v>1</v>
      </c>
      <c r="AK236" s="25">
        <f t="shared" si="148"/>
        <v>1</v>
      </c>
      <c r="AL236" s="23">
        <f>AF236/AJ236</f>
        <v>0</v>
      </c>
    </row>
    <row r="237" spans="1:39" ht="30">
      <c r="A237" s="20" t="s">
        <v>15</v>
      </c>
      <c r="B237" s="13"/>
      <c r="C237" s="13"/>
      <c r="D237" s="13"/>
      <c r="E237" s="13"/>
      <c r="F237" s="13"/>
      <c r="G237" s="13"/>
      <c r="H237" s="13"/>
      <c r="I237" s="21">
        <f t="shared" si="143"/>
        <v>0</v>
      </c>
      <c r="J237" s="22">
        <f t="shared" si="146"/>
        <v>0</v>
      </c>
      <c r="K237" s="23">
        <v>1</v>
      </c>
      <c r="L237" s="21"/>
      <c r="M237" s="115"/>
      <c r="O237" s="33" t="s">
        <v>17</v>
      </c>
      <c r="P237" s="21">
        <f>SUM(P232:P236)</f>
        <v>0</v>
      </c>
      <c r="Q237" s="21">
        <f>SUM(Q232:Q236)</f>
        <v>0</v>
      </c>
      <c r="R237" s="21">
        <f>SUM(R232:R236)</f>
        <v>38</v>
      </c>
      <c r="S237" s="21">
        <f>SUM(S232:S236)</f>
        <v>61</v>
      </c>
      <c r="T237" s="21">
        <f>SUM(T232:T236)</f>
        <v>0</v>
      </c>
      <c r="U237" s="21">
        <f t="shared" si="144"/>
        <v>99</v>
      </c>
      <c r="V237" s="21"/>
      <c r="W237" s="34"/>
      <c r="X237" s="21"/>
      <c r="AA237" s="32" t="s">
        <v>29</v>
      </c>
      <c r="AB237" s="16"/>
      <c r="AC237" s="13"/>
      <c r="AD237" s="13"/>
      <c r="AE237" s="13"/>
      <c r="AF237" s="13"/>
      <c r="AG237" s="13"/>
      <c r="AH237" s="13"/>
      <c r="AJ237" s="21">
        <f t="shared" si="145"/>
        <v>0</v>
      </c>
      <c r="AK237" s="25">
        <f t="shared" si="148"/>
        <v>0</v>
      </c>
      <c r="AL237" s="23">
        <v>1</v>
      </c>
    </row>
    <row r="238" spans="1:39" ht="45">
      <c r="A238" s="20" t="s">
        <v>16</v>
      </c>
      <c r="B238" s="13"/>
      <c r="C238" s="13"/>
      <c r="D238" s="13">
        <v>1</v>
      </c>
      <c r="E238" s="13"/>
      <c r="F238" s="13"/>
      <c r="G238" s="13"/>
      <c r="H238" s="13"/>
      <c r="I238" s="21">
        <f t="shared" si="143"/>
        <v>1</v>
      </c>
      <c r="J238" s="22">
        <f t="shared" si="146"/>
        <v>1</v>
      </c>
      <c r="K238" s="23">
        <f>H238/I238</f>
        <v>0</v>
      </c>
      <c r="L238" s="21"/>
      <c r="M238" s="115"/>
      <c r="O238" s="33" t="s">
        <v>31</v>
      </c>
      <c r="P238" s="25">
        <f>1-P239</f>
        <v>0</v>
      </c>
      <c r="Q238" s="25">
        <f t="shared" ref="Q238:T238" si="149">1-Q239</f>
        <v>0</v>
      </c>
      <c r="R238" s="25">
        <f t="shared" si="149"/>
        <v>0.68421052631578949</v>
      </c>
      <c r="S238" s="25">
        <f t="shared" si="149"/>
        <v>0.18032786885245899</v>
      </c>
      <c r="T238" s="25">
        <f t="shared" si="149"/>
        <v>0</v>
      </c>
      <c r="U238" s="13"/>
      <c r="V238" s="46" t="s">
        <v>32</v>
      </c>
      <c r="W238" s="36">
        <f>W243</f>
        <v>0.15831801470588236</v>
      </c>
      <c r="X238" s="21"/>
      <c r="AA238" s="32" t="s">
        <v>30</v>
      </c>
      <c r="AB238" s="16"/>
      <c r="AC238" s="13"/>
      <c r="AD238" s="13"/>
      <c r="AE238" s="13"/>
      <c r="AF238" s="13"/>
      <c r="AG238" s="13"/>
      <c r="AH238" s="13"/>
      <c r="AJ238" s="21">
        <f t="shared" si="145"/>
        <v>0</v>
      </c>
      <c r="AK238" s="25">
        <f t="shared" si="148"/>
        <v>0</v>
      </c>
      <c r="AL238" s="23">
        <v>1</v>
      </c>
    </row>
    <row r="239" spans="1:39" ht="29" thickBot="1">
      <c r="A239" s="33" t="s">
        <v>17</v>
      </c>
      <c r="B239" s="21">
        <f t="shared" ref="B239:H239" si="150">SUM(B232:B238)</f>
        <v>0</v>
      </c>
      <c r="C239" s="21">
        <f t="shared" si="150"/>
        <v>0</v>
      </c>
      <c r="D239" s="21">
        <f t="shared" si="150"/>
        <v>2</v>
      </c>
      <c r="E239" s="21">
        <f t="shared" si="150"/>
        <v>36</v>
      </c>
      <c r="F239" s="21">
        <f t="shared" si="150"/>
        <v>61</v>
      </c>
      <c r="G239" s="21">
        <f t="shared" si="150"/>
        <v>0</v>
      </c>
      <c r="H239" s="21">
        <f t="shared" si="150"/>
        <v>0</v>
      </c>
      <c r="I239" s="21">
        <f t="shared" si="143"/>
        <v>99</v>
      </c>
      <c r="J239" s="37"/>
      <c r="K239" s="34"/>
      <c r="L239" s="21"/>
      <c r="M239" s="115"/>
      <c r="O239" s="38" t="s">
        <v>33</v>
      </c>
      <c r="P239" s="39">
        <v>1</v>
      </c>
      <c r="Q239" s="40">
        <v>1</v>
      </c>
      <c r="R239" s="40">
        <f>R234/R237</f>
        <v>0.31578947368421051</v>
      </c>
      <c r="S239" s="40">
        <f>S235/S237</f>
        <v>0.81967213114754101</v>
      </c>
      <c r="T239" s="39">
        <v>1</v>
      </c>
      <c r="U239" s="41"/>
      <c r="V239" s="52" t="s">
        <v>34</v>
      </c>
      <c r="W239" s="43">
        <f>X240</f>
        <v>0.6262626262626263</v>
      </c>
      <c r="X239" s="44"/>
      <c r="AA239" s="60" t="s">
        <v>16</v>
      </c>
      <c r="AB239" s="24">
        <v>2</v>
      </c>
      <c r="AC239" s="24">
        <v>3</v>
      </c>
      <c r="AD239" s="24"/>
      <c r="AE239" s="24"/>
      <c r="AF239" s="24"/>
      <c r="AG239" s="24"/>
      <c r="AH239" s="24"/>
      <c r="AI239" s="24"/>
      <c r="AJ239" s="21">
        <f>SUM(AB239:AI239)</f>
        <v>5</v>
      </c>
      <c r="AK239" s="25">
        <f t="shared" si="148"/>
        <v>1</v>
      </c>
      <c r="AL239" s="23">
        <f>AI239/AJ239</f>
        <v>0</v>
      </c>
    </row>
    <row r="240" spans="1:39" ht="28">
      <c r="A240" s="33" t="s">
        <v>31</v>
      </c>
      <c r="B240" s="25">
        <f>1-B241</f>
        <v>0</v>
      </c>
      <c r="C240" s="25">
        <f t="shared" ref="C240:H240" si="151">1-C241</f>
        <v>0</v>
      </c>
      <c r="D240" s="25">
        <f t="shared" si="151"/>
        <v>1</v>
      </c>
      <c r="E240" s="25">
        <f t="shared" si="151"/>
        <v>0.66666666666666674</v>
      </c>
      <c r="F240" s="25">
        <f t="shared" si="151"/>
        <v>0.18032786885245899</v>
      </c>
      <c r="G240" s="25">
        <f t="shared" si="151"/>
        <v>0</v>
      </c>
      <c r="H240" s="25">
        <f t="shared" si="151"/>
        <v>0</v>
      </c>
      <c r="I240" s="49"/>
      <c r="J240" s="46" t="s">
        <v>32</v>
      </c>
      <c r="K240" s="36">
        <f>K245</f>
        <v>0.16712141882673953</v>
      </c>
      <c r="L240" s="21"/>
      <c r="M240" s="115"/>
      <c r="O240" s="129" t="s">
        <v>136</v>
      </c>
      <c r="V240" s="4"/>
      <c r="X240" s="50">
        <f>SUM(P232,Q233,R234,S235,T236)/U237</f>
        <v>0.6262626262626263</v>
      </c>
      <c r="AA240" s="33" t="s">
        <v>17</v>
      </c>
      <c r="AB240" s="21">
        <f t="shared" ref="AB240:AH240" si="152">SUM(AB232:AB239)</f>
        <v>36</v>
      </c>
      <c r="AC240" s="21">
        <f t="shared" si="152"/>
        <v>38</v>
      </c>
      <c r="AD240" s="21">
        <f t="shared" si="152"/>
        <v>22</v>
      </c>
      <c r="AE240" s="21">
        <f t="shared" si="152"/>
        <v>0</v>
      </c>
      <c r="AF240" s="21">
        <f t="shared" si="152"/>
        <v>0</v>
      </c>
      <c r="AG240" s="21">
        <f t="shared" si="152"/>
        <v>0</v>
      </c>
      <c r="AH240" s="21">
        <f t="shared" si="152"/>
        <v>0</v>
      </c>
      <c r="AI240" s="21">
        <f>SUM(AI232:AI239)</f>
        <v>3</v>
      </c>
      <c r="AJ240" s="21">
        <f>SUM(AB240:AI240)</f>
        <v>99</v>
      </c>
      <c r="AL240" s="51"/>
    </row>
    <row r="241" spans="1:39" ht="29" thickBot="1">
      <c r="A241" s="38" t="s">
        <v>33</v>
      </c>
      <c r="B241" s="39">
        <v>1</v>
      </c>
      <c r="C241" s="40">
        <v>1</v>
      </c>
      <c r="D241" s="40">
        <f>D234/D239</f>
        <v>0</v>
      </c>
      <c r="E241" s="40">
        <f>E235/E239</f>
        <v>0.33333333333333331</v>
      </c>
      <c r="F241" s="40">
        <f>F236/F239</f>
        <v>0.81967213114754101</v>
      </c>
      <c r="G241" s="40">
        <v>1</v>
      </c>
      <c r="H241" s="39">
        <v>1</v>
      </c>
      <c r="I241" s="41"/>
      <c r="J241" s="52" t="s">
        <v>34</v>
      </c>
      <c r="K241" s="43">
        <f>L242</f>
        <v>0.6262626262626263</v>
      </c>
      <c r="L241" s="44"/>
      <c r="M241" s="116"/>
      <c r="O241" s="141" t="s">
        <v>135</v>
      </c>
      <c r="P241" s="122">
        <f>P237*U232</f>
        <v>0</v>
      </c>
      <c r="Q241" s="122">
        <f>Q237*U233</f>
        <v>0</v>
      </c>
      <c r="R241" s="122">
        <f>R237*U234</f>
        <v>874</v>
      </c>
      <c r="S241" s="122">
        <f>S237*U235</f>
        <v>4575</v>
      </c>
      <c r="T241" s="122">
        <f>T237*U236</f>
        <v>0</v>
      </c>
      <c r="U241" s="123">
        <f>SUM(N241:T241)</f>
        <v>5449</v>
      </c>
      <c r="V241" s="128"/>
      <c r="W241" s="123"/>
      <c r="X241" s="44"/>
      <c r="AA241" s="33" t="s">
        <v>35</v>
      </c>
      <c r="AB241" s="53">
        <f>1-AB242</f>
        <v>1</v>
      </c>
      <c r="AC241" s="54">
        <f>1-AC242</f>
        <v>1</v>
      </c>
      <c r="AD241" s="54">
        <f t="shared" ref="AD241:AI241" si="153">1-AD242</f>
        <v>0</v>
      </c>
      <c r="AE241" s="54">
        <f t="shared" si="153"/>
        <v>0</v>
      </c>
      <c r="AF241" s="54">
        <f t="shared" si="153"/>
        <v>0</v>
      </c>
      <c r="AG241" s="54">
        <f t="shared" si="153"/>
        <v>0</v>
      </c>
      <c r="AH241" s="54">
        <f t="shared" si="153"/>
        <v>0</v>
      </c>
      <c r="AI241" s="54">
        <f t="shared" si="153"/>
        <v>0</v>
      </c>
      <c r="AK241" s="35" t="s">
        <v>32</v>
      </c>
      <c r="AL241" s="36">
        <f>AL246</f>
        <v>1.5581302437075496E-2</v>
      </c>
    </row>
    <row r="242" spans="1:39" ht="33" thickBot="1">
      <c r="A242" s="129" t="s">
        <v>136</v>
      </c>
      <c r="L242" s="50">
        <f>SUM(B232,C233,D234,E235,F236,G237,H238)/I239</f>
        <v>0.6262626262626263</v>
      </c>
      <c r="M242" s="113"/>
      <c r="O242" s="142" t="s">
        <v>134</v>
      </c>
      <c r="P242" s="124">
        <f>(P237*$U232)+(P237*$U233)+(P237*$U234)+(P237*$U235)+(P237*$U236)</f>
        <v>0</v>
      </c>
      <c r="Q242" s="124">
        <f t="shared" ref="Q242:T242" si="154">(Q237*$U232)+(Q237*$U233)+(Q237*$U234)+(Q237*$U235)+(Q237*$U236)</f>
        <v>0</v>
      </c>
      <c r="R242" s="124">
        <f t="shared" si="154"/>
        <v>3762</v>
      </c>
      <c r="S242" s="124">
        <f t="shared" si="154"/>
        <v>6039</v>
      </c>
      <c r="T242" s="124">
        <f t="shared" si="154"/>
        <v>0</v>
      </c>
      <c r="U242" s="125">
        <f>SUM(N242:T242)</f>
        <v>9801</v>
      </c>
      <c r="V242" s="127"/>
      <c r="W242" s="125" t="s">
        <v>32</v>
      </c>
      <c r="X242" s="44"/>
      <c r="AA242" s="38" t="s">
        <v>33</v>
      </c>
      <c r="AB242" s="56">
        <f>AB232/AB240</f>
        <v>0</v>
      </c>
      <c r="AC242" s="57">
        <f>AC233/AC240</f>
        <v>0</v>
      </c>
      <c r="AD242" s="57">
        <f>AD234/AD240</f>
        <v>1</v>
      </c>
      <c r="AE242" s="57">
        <v>1</v>
      </c>
      <c r="AF242" s="57">
        <v>1</v>
      </c>
      <c r="AG242" s="57">
        <v>1</v>
      </c>
      <c r="AH242" s="63">
        <v>1</v>
      </c>
      <c r="AI242" s="63">
        <v>1</v>
      </c>
      <c r="AJ242" s="41"/>
      <c r="AK242" s="42" t="s">
        <v>34</v>
      </c>
      <c r="AL242" s="43">
        <f>AM243</f>
        <v>0.22222222222222221</v>
      </c>
    </row>
    <row r="243" spans="1:39" ht="22" thickTop="1">
      <c r="A243" s="130" t="s">
        <v>135</v>
      </c>
      <c r="B243" s="122">
        <f>B239*I232</f>
        <v>0</v>
      </c>
      <c r="C243" s="122">
        <f>C239*I233</f>
        <v>0</v>
      </c>
      <c r="D243" s="122">
        <f>D239*I234</f>
        <v>0</v>
      </c>
      <c r="E243" s="122">
        <f>E239*I235</f>
        <v>828</v>
      </c>
      <c r="F243" s="122">
        <f>F239*I236</f>
        <v>4575</v>
      </c>
      <c r="G243" s="122">
        <f>G239*I237</f>
        <v>0</v>
      </c>
      <c r="H243" s="122">
        <f>H239*I238</f>
        <v>0</v>
      </c>
      <c r="I243" s="123">
        <f>SUM(B243:H243)</f>
        <v>5403</v>
      </c>
      <c r="J243" s="128"/>
      <c r="K243" s="123"/>
      <c r="L243" s="44"/>
      <c r="O243" s="13"/>
      <c r="P243" s="115"/>
      <c r="Q243" s="115"/>
      <c r="R243" s="115"/>
      <c r="S243" s="115"/>
      <c r="T243" s="115"/>
      <c r="U243" t="s">
        <v>110</v>
      </c>
      <c r="V243" s="102">
        <f>X240</f>
        <v>0.6262626262626263</v>
      </c>
      <c r="W243" s="104">
        <f>(V243-V244)/(1-V244)</f>
        <v>0.15831801470588236</v>
      </c>
      <c r="X243" s="44"/>
      <c r="AA243" s="129" t="s">
        <v>136</v>
      </c>
      <c r="AK243" s="4"/>
      <c r="AM243" s="50">
        <f>SUM(AB232,AC233,AD234,AE235,AF236,AG237,AH238,AI239)/AJ240</f>
        <v>0.22222222222222221</v>
      </c>
    </row>
    <row r="244" spans="1:39" ht="29" thickBot="1">
      <c r="A244" s="131" t="s">
        <v>134</v>
      </c>
      <c r="B244" s="124">
        <f>(B239*$I232)+(B239*$I233)+(B239*$I234)+(B239*$I235)+(B239*$I236)+(B239*$I237)+(B239*$I238)</f>
        <v>0</v>
      </c>
      <c r="C244" s="124">
        <f>(C239*$I232)+(C239*$I233)+(C239*$I234)+(C239*$I235)+(C239*$I236)+(C239*$I237)+(C239*$I238)</f>
        <v>0</v>
      </c>
      <c r="D244" s="124">
        <f>(D239*$I232)+(D239*$I233)+(D239*$I234)+(D239*$I235)+(D239*$I236)+(D239*$I237)+(D239*$I238)</f>
        <v>198</v>
      </c>
      <c r="E244" s="124">
        <f>(E239*$I232)+(E239*$I233)+(E239*$I234)+(E239*$I235)+(E239*$I236)+(E239*$I237)+(E239*$I238)</f>
        <v>3564</v>
      </c>
      <c r="F244" s="124">
        <f>(F239*$I232)+(F239*$I233)+(F239*$I234)+(F239*$I235)+(F239*$I236)+(F239*$I237)+(F239*$I238)</f>
        <v>6039</v>
      </c>
      <c r="G244" s="124">
        <f>(G239*$I232)+(G239*$I233)+(G239*$I234)+(G239*$I235)+(G239*$I236)+(G239*$I237)+(G239*$I238)</f>
        <v>0</v>
      </c>
      <c r="H244" s="124">
        <f>(H239*$I232)+(H239*$I233)+(H239*$I234)+(H239*$I235)+(H239*$I236)+(H239*$I237)+(H239*$I238)</f>
        <v>0</v>
      </c>
      <c r="I244" s="125">
        <f>SUM(B244:H244)</f>
        <v>9801</v>
      </c>
      <c r="J244" s="127"/>
      <c r="K244" s="125" t="s">
        <v>32</v>
      </c>
      <c r="L244" s="44"/>
      <c r="O244" s="187"/>
      <c r="P244" s="115"/>
      <c r="Q244" s="115"/>
      <c r="R244" s="115"/>
      <c r="S244" s="115"/>
      <c r="T244" s="115"/>
      <c r="U244" t="s">
        <v>111</v>
      </c>
      <c r="V244" s="103">
        <f>U241/U242</f>
        <v>0.55596367717579842</v>
      </c>
      <c r="W244" s="101"/>
      <c r="AA244" s="141" t="s">
        <v>135</v>
      </c>
      <c r="AB244" s="122">
        <f>AB240*AJ232</f>
        <v>0</v>
      </c>
      <c r="AC244" s="122">
        <f>AC240*AJ233</f>
        <v>0</v>
      </c>
      <c r="AD244" s="122">
        <f>AD240*AJ234</f>
        <v>1980</v>
      </c>
      <c r="AE244" s="122">
        <f>AE240*AJ235</f>
        <v>0</v>
      </c>
      <c r="AF244" s="122">
        <f>AF240*AJ236</f>
        <v>0</v>
      </c>
      <c r="AG244" s="122">
        <f>AG240*AJ237</f>
        <v>0</v>
      </c>
      <c r="AH244" s="122">
        <f>AH240*AJ238</f>
        <v>0</v>
      </c>
      <c r="AI244" s="122">
        <f>AI240*AJ239</f>
        <v>15</v>
      </c>
      <c r="AJ244" s="123">
        <f>SUM(AB244:AI244)</f>
        <v>1995</v>
      </c>
      <c r="AK244" s="128"/>
      <c r="AL244" s="123"/>
      <c r="AM244" s="44"/>
    </row>
    <row r="245" spans="1:39" ht="30" thickTop="1" thickBot="1">
      <c r="A245" s="13"/>
      <c r="B245" s="115"/>
      <c r="C245" s="115"/>
      <c r="D245" s="115"/>
      <c r="E245" s="115"/>
      <c r="F245" s="115"/>
      <c r="G245" s="115"/>
      <c r="H245" s="115"/>
      <c r="I245" t="s">
        <v>110</v>
      </c>
      <c r="J245" s="102">
        <f>L242</f>
        <v>0.6262626262626263</v>
      </c>
      <c r="K245" s="104">
        <f>(J245-J246)/(1-J246)</f>
        <v>0.16712141882673953</v>
      </c>
      <c r="L245" s="44"/>
      <c r="P245" s="100"/>
      <c r="Q245" s="100"/>
      <c r="R245" s="100"/>
      <c r="S245" s="100"/>
      <c r="T245" s="100"/>
      <c r="U245" s="111"/>
      <c r="V245" s="132"/>
      <c r="W245" s="133"/>
      <c r="AA245" s="142" t="s">
        <v>134</v>
      </c>
      <c r="AB245" s="124">
        <f>(AB240*$AJ232)+(AB240*$AJ233)+(AB240*$AJ234)+(AB240*$AJ235)+(AB240*$AJ236)+(AB240*$AJ237)+(AB240*$AJ238)+(AB240*$AJ239)</f>
        <v>3456</v>
      </c>
      <c r="AC245" s="124">
        <f t="shared" ref="AC245:AH245" si="155">(AC240*$AJ232)+(AC240*$AJ233)+(AC240*$AJ234)+(AC240*$AJ235)+(AC240*$AJ236)+(AC240*$AJ237)+(AC240*$AJ238)+(AC240*$AJ239)</f>
        <v>3648</v>
      </c>
      <c r="AD245" s="124">
        <f t="shared" si="155"/>
        <v>2112</v>
      </c>
      <c r="AE245" s="124">
        <f t="shared" si="155"/>
        <v>0</v>
      </c>
      <c r="AF245" s="124">
        <f t="shared" si="155"/>
        <v>0</v>
      </c>
      <c r="AG245" s="124">
        <f t="shared" si="155"/>
        <v>0</v>
      </c>
      <c r="AH245" s="124">
        <f t="shared" si="155"/>
        <v>0</v>
      </c>
      <c r="AI245" s="124">
        <f>(AI240*$AJ232)+(AI240*$AJ233)+(AI240*$AJ234)+(AI240*$AJ235)+(AI240*$AJ236)+(AI240*$AJ237)+(AI240*$AJ238)+(AI240*$AJ239)</f>
        <v>288</v>
      </c>
      <c r="AJ245" s="125">
        <f>SUM(AB245:AI245)</f>
        <v>9504</v>
      </c>
      <c r="AK245" s="127"/>
      <c r="AL245" s="125" t="s">
        <v>32</v>
      </c>
      <c r="AM245" s="44"/>
    </row>
    <row r="246" spans="1:39" ht="22" thickTop="1">
      <c r="A246" s="187"/>
      <c r="B246" s="115"/>
      <c r="C246" s="115"/>
      <c r="D246" s="115"/>
      <c r="E246" s="115"/>
      <c r="F246" s="115"/>
      <c r="G246" s="115"/>
      <c r="H246" s="115"/>
      <c r="I246" t="s">
        <v>111</v>
      </c>
      <c r="J246" s="103">
        <f>I243/I244</f>
        <v>0.55127027854300581</v>
      </c>
      <c r="K246" s="101"/>
      <c r="P246" s="100"/>
      <c r="Q246" s="100"/>
      <c r="R246" s="100"/>
      <c r="S246" s="100"/>
      <c r="T246" s="100"/>
      <c r="U246" s="111"/>
      <c r="V246" s="132"/>
      <c r="W246" s="101"/>
      <c r="AA246" s="187"/>
      <c r="AB246" s="13"/>
      <c r="AC246" s="115"/>
      <c r="AD246" s="115"/>
      <c r="AE246" s="115"/>
      <c r="AF246" s="115"/>
      <c r="AG246" s="115"/>
      <c r="AJ246" t="s">
        <v>110</v>
      </c>
      <c r="AK246" s="102">
        <f>AM243</f>
        <v>0.22222222222222221</v>
      </c>
      <c r="AL246" s="104">
        <f>(AK246-AK247)/(1-AK247)</f>
        <v>1.5581302437075496E-2</v>
      </c>
      <c r="AM246" s="44"/>
    </row>
    <row r="247" spans="1:39" ht="21">
      <c r="B247" s="126"/>
      <c r="C247" s="126"/>
      <c r="D247" s="126"/>
      <c r="E247" s="126"/>
      <c r="F247" s="126"/>
      <c r="G247" s="126"/>
      <c r="H247" s="126"/>
      <c r="I247" s="134"/>
      <c r="J247" s="135"/>
      <c r="K247" s="137"/>
      <c r="AA247" s="59"/>
      <c r="AB247" s="187"/>
      <c r="AC247" s="115"/>
      <c r="AD247" s="115"/>
      <c r="AE247" s="115"/>
      <c r="AF247" s="115"/>
      <c r="AG247" s="115"/>
      <c r="AJ247" t="s">
        <v>111</v>
      </c>
      <c r="AK247" s="103">
        <f>AJ244/AJ245</f>
        <v>0.20991161616161616</v>
      </c>
      <c r="AL247" s="101"/>
    </row>
    <row r="250" spans="1:39" ht="21">
      <c r="A250" s="191" t="s">
        <v>71</v>
      </c>
      <c r="B250" s="191"/>
      <c r="C250" s="191"/>
      <c r="D250" s="191"/>
      <c r="E250" s="191"/>
      <c r="F250" s="191"/>
      <c r="G250" s="191"/>
      <c r="H250" s="191"/>
      <c r="O250" s="191" t="s">
        <v>71</v>
      </c>
      <c r="P250" s="191"/>
      <c r="Q250" s="191"/>
      <c r="R250" s="191"/>
      <c r="S250" s="191"/>
      <c r="T250" s="191"/>
      <c r="U250" s="191"/>
      <c r="V250" s="191"/>
      <c r="AA250" s="191" t="s">
        <v>71</v>
      </c>
      <c r="AB250" s="191"/>
      <c r="AC250" s="191"/>
      <c r="AD250" s="191"/>
      <c r="AE250" s="191"/>
      <c r="AF250" s="191"/>
      <c r="AG250" s="191"/>
      <c r="AH250" s="191"/>
      <c r="AI250" s="191"/>
      <c r="AJ250" s="191"/>
      <c r="AK250" s="191"/>
      <c r="AL250" s="191"/>
    </row>
    <row r="251" spans="1:39" ht="21">
      <c r="A251" s="5"/>
      <c r="B251" s="5"/>
      <c r="C251" s="5"/>
      <c r="D251" s="5"/>
      <c r="E251" s="5"/>
      <c r="F251" s="5"/>
      <c r="G251" s="5"/>
      <c r="H251" s="5"/>
      <c r="O251" s="5"/>
      <c r="P251" s="5"/>
      <c r="Q251" s="5"/>
      <c r="R251" s="5"/>
      <c r="S251" s="5"/>
      <c r="T251" s="5"/>
      <c r="U251" s="5"/>
      <c r="V251" s="5"/>
      <c r="AA251" s="5"/>
      <c r="AB251" s="5"/>
      <c r="AC251" s="5"/>
      <c r="AD251" s="5"/>
      <c r="AE251" s="5"/>
      <c r="AF251" s="5"/>
      <c r="AG251" s="5"/>
      <c r="AH251" s="5"/>
    </row>
    <row r="252" spans="1:39" ht="17" thickBot="1">
      <c r="A252" s="192" t="s">
        <v>8</v>
      </c>
      <c r="B252" s="192"/>
      <c r="C252" s="192"/>
      <c r="D252" s="192"/>
      <c r="E252" s="192"/>
      <c r="F252" s="192"/>
      <c r="G252" s="192"/>
      <c r="H252" s="192"/>
      <c r="J252" s="189"/>
      <c r="K252" s="189"/>
      <c r="L252" s="189"/>
      <c r="M252" s="118"/>
      <c r="O252" s="188" t="s">
        <v>8</v>
      </c>
      <c r="P252" s="188"/>
      <c r="Q252" s="188"/>
      <c r="R252" s="188"/>
      <c r="S252" s="188"/>
      <c r="T252" s="188"/>
      <c r="U252" s="188"/>
      <c r="V252" s="188"/>
      <c r="W252" s="188"/>
      <c r="X252" s="190"/>
      <c r="AA252" s="188" t="s">
        <v>8</v>
      </c>
      <c r="AB252" s="188"/>
      <c r="AC252" s="188"/>
      <c r="AD252" s="188"/>
      <c r="AE252" s="188"/>
      <c r="AF252" s="188"/>
      <c r="AG252" s="188"/>
      <c r="AH252" s="188"/>
      <c r="AI252" s="188"/>
      <c r="AJ252" s="188"/>
      <c r="AK252" s="188"/>
      <c r="AL252" s="6"/>
    </row>
    <row r="253" spans="1:39" ht="91" thickBot="1">
      <c r="A253" s="65" t="s">
        <v>72</v>
      </c>
      <c r="B253" s="66" t="s">
        <v>10</v>
      </c>
      <c r="C253" s="66" t="s">
        <v>13</v>
      </c>
      <c r="D253" s="66" t="s">
        <v>15</v>
      </c>
      <c r="E253" s="66" t="s">
        <v>16</v>
      </c>
      <c r="F253" s="67" t="s">
        <v>17</v>
      </c>
      <c r="G253" s="67" t="s">
        <v>18</v>
      </c>
      <c r="H253" s="68" t="s">
        <v>19</v>
      </c>
      <c r="J253" s="37"/>
      <c r="K253" s="21"/>
      <c r="L253" s="21"/>
      <c r="M253" s="115"/>
      <c r="O253" s="8" t="s">
        <v>73</v>
      </c>
      <c r="P253" s="9" t="s">
        <v>10</v>
      </c>
      <c r="Q253" s="9" t="s">
        <v>11</v>
      </c>
      <c r="R253" s="9" t="s">
        <v>21</v>
      </c>
      <c r="S253" s="9" t="s">
        <v>22</v>
      </c>
      <c r="T253" s="9" t="s">
        <v>16</v>
      </c>
      <c r="U253" s="10" t="s">
        <v>17</v>
      </c>
      <c r="V253" s="15" t="s">
        <v>18</v>
      </c>
      <c r="W253" s="12" t="s">
        <v>19</v>
      </c>
      <c r="X253" s="16"/>
      <c r="AA253" s="8" t="s">
        <v>74</v>
      </c>
      <c r="AB253" s="17" t="s">
        <v>24</v>
      </c>
      <c r="AC253" s="17" t="s">
        <v>25</v>
      </c>
      <c r="AD253" s="17" t="s">
        <v>26</v>
      </c>
      <c r="AE253" s="17" t="s">
        <v>27</v>
      </c>
      <c r="AF253" s="17" t="s">
        <v>28</v>
      </c>
      <c r="AG253" s="17" t="s">
        <v>29</v>
      </c>
      <c r="AH253" s="17" t="s">
        <v>30</v>
      </c>
      <c r="AI253" s="17" t="s">
        <v>16</v>
      </c>
      <c r="AJ253" s="18" t="s">
        <v>17</v>
      </c>
      <c r="AK253" s="18" t="s">
        <v>18</v>
      </c>
      <c r="AL253" s="19" t="s">
        <v>19</v>
      </c>
    </row>
    <row r="254" spans="1:39" ht="56">
      <c r="A254" s="69" t="s">
        <v>75</v>
      </c>
      <c r="B254" s="70">
        <v>0</v>
      </c>
      <c r="C254" s="70">
        <v>11</v>
      </c>
      <c r="D254" s="70">
        <v>0</v>
      </c>
      <c r="E254" s="70">
        <v>0</v>
      </c>
      <c r="F254" s="14">
        <f>SUM(B254:E254)</f>
        <v>11</v>
      </c>
      <c r="G254" s="71">
        <v>1</v>
      </c>
      <c r="H254" s="72">
        <f>0/11</f>
        <v>0</v>
      </c>
      <c r="J254" s="58"/>
      <c r="K254" s="73"/>
      <c r="L254" s="73"/>
      <c r="M254" s="119"/>
      <c r="O254" s="20" t="s">
        <v>10</v>
      </c>
      <c r="P254" s="13"/>
      <c r="Q254" s="13"/>
      <c r="R254" s="13">
        <v>13</v>
      </c>
      <c r="S254" s="13"/>
      <c r="T254" s="13"/>
      <c r="U254" s="21">
        <f t="shared" ref="U254:U259" si="156">SUM(P254:T254)</f>
        <v>13</v>
      </c>
      <c r="V254" s="25">
        <f>1-W254</f>
        <v>1</v>
      </c>
      <c r="W254" s="23">
        <f>P254/U254</f>
        <v>0</v>
      </c>
      <c r="X254" s="21"/>
      <c r="AA254" s="26" t="s">
        <v>24</v>
      </c>
      <c r="AB254" s="27"/>
      <c r="AC254" s="28"/>
      <c r="AD254" s="28"/>
      <c r="AE254" s="28"/>
      <c r="AF254" s="28"/>
      <c r="AG254" s="28"/>
      <c r="AH254" s="28"/>
      <c r="AJ254" s="29">
        <f t="shared" ref="AJ254:AJ260" si="157">SUM(AB254:AH254)</f>
        <v>0</v>
      </c>
      <c r="AK254" s="30">
        <f>1-AL254</f>
        <v>0</v>
      </c>
      <c r="AL254" s="31">
        <v>1</v>
      </c>
    </row>
    <row r="255" spans="1:39" ht="45">
      <c r="A255" s="69" t="s">
        <v>13</v>
      </c>
      <c r="B255" s="70">
        <v>0</v>
      </c>
      <c r="C255" s="70">
        <v>25</v>
      </c>
      <c r="D255" s="70">
        <v>0</v>
      </c>
      <c r="E255" s="70">
        <v>0</v>
      </c>
      <c r="F255" s="14">
        <f>SUM(B255:E255)</f>
        <v>25</v>
      </c>
      <c r="G255" s="71">
        <v>0</v>
      </c>
      <c r="H255" s="72">
        <f>25/25</f>
        <v>1</v>
      </c>
      <c r="J255" s="58"/>
      <c r="K255" s="73"/>
      <c r="L255" s="73"/>
      <c r="M255" s="119"/>
      <c r="O255" s="20" t="s">
        <v>11</v>
      </c>
      <c r="P255" s="13"/>
      <c r="Q255" s="13"/>
      <c r="R255" s="13"/>
      <c r="S255" s="13"/>
      <c r="T255" s="13"/>
      <c r="U255" s="21">
        <f t="shared" si="156"/>
        <v>0</v>
      </c>
      <c r="V255" s="25">
        <f t="shared" ref="V255:V258" si="158">1-W255</f>
        <v>0</v>
      </c>
      <c r="W255" s="23">
        <v>1</v>
      </c>
      <c r="X255" s="21"/>
      <c r="AA255" s="32" t="s">
        <v>25</v>
      </c>
      <c r="AB255" s="16"/>
      <c r="AC255" s="13"/>
      <c r="AD255" s="13"/>
      <c r="AE255" s="13"/>
      <c r="AF255" s="13"/>
      <c r="AG255" s="13"/>
      <c r="AH255" s="13"/>
      <c r="AJ255" s="21">
        <f t="shared" si="157"/>
        <v>0</v>
      </c>
      <c r="AK255" s="25">
        <f>1-AL255</f>
        <v>0</v>
      </c>
      <c r="AL255" s="23">
        <v>1</v>
      </c>
    </row>
    <row r="256" spans="1:39" ht="45">
      <c r="A256" s="69" t="s">
        <v>15</v>
      </c>
      <c r="B256" s="70">
        <v>0</v>
      </c>
      <c r="C256" s="70">
        <v>1</v>
      </c>
      <c r="D256" s="70">
        <v>0</v>
      </c>
      <c r="E256" s="70">
        <v>0</v>
      </c>
      <c r="F256" s="14">
        <f>SUM(B256:E256)</f>
        <v>1</v>
      </c>
      <c r="G256" s="71">
        <v>1</v>
      </c>
      <c r="H256" s="72">
        <f>0/1</f>
        <v>0</v>
      </c>
      <c r="J256" s="58"/>
      <c r="K256" s="73"/>
      <c r="L256" s="73"/>
      <c r="M256" s="119"/>
      <c r="O256" s="20" t="s">
        <v>21</v>
      </c>
      <c r="P256" s="13"/>
      <c r="Q256" s="13"/>
      <c r="R256" s="13">
        <v>22</v>
      </c>
      <c r="S256" s="13"/>
      <c r="T256" s="13"/>
      <c r="U256" s="21">
        <f t="shared" si="156"/>
        <v>22</v>
      </c>
      <c r="V256" s="25">
        <f t="shared" si="158"/>
        <v>0</v>
      </c>
      <c r="W256" s="23">
        <f>R256/U256</f>
        <v>1</v>
      </c>
      <c r="X256" s="21"/>
      <c r="AA256" s="32" t="s">
        <v>26</v>
      </c>
      <c r="AB256" s="16"/>
      <c r="AC256" s="13"/>
      <c r="AD256" s="13"/>
      <c r="AE256" s="13"/>
      <c r="AF256" s="13"/>
      <c r="AG256" s="13"/>
      <c r="AH256" s="13"/>
      <c r="AJ256" s="21">
        <f t="shared" si="157"/>
        <v>0</v>
      </c>
      <c r="AK256" s="25">
        <f t="shared" ref="AK256:AK261" si="159">1-AL256</f>
        <v>0</v>
      </c>
      <c r="AL256" s="23">
        <v>1</v>
      </c>
    </row>
    <row r="257" spans="1:39" ht="42">
      <c r="A257" s="69" t="s">
        <v>16</v>
      </c>
      <c r="B257" s="70">
        <v>0</v>
      </c>
      <c r="C257" s="70">
        <v>4</v>
      </c>
      <c r="D257" s="70">
        <v>0</v>
      </c>
      <c r="E257" s="70">
        <v>0</v>
      </c>
      <c r="F257" s="14">
        <f>SUM(B257:E257)</f>
        <v>4</v>
      </c>
      <c r="G257" s="71">
        <v>1</v>
      </c>
      <c r="H257" s="72">
        <f>0/4</f>
        <v>0</v>
      </c>
      <c r="J257" s="58"/>
      <c r="K257" s="73"/>
      <c r="L257" s="73"/>
      <c r="M257" s="119"/>
      <c r="O257" s="20" t="s">
        <v>22</v>
      </c>
      <c r="P257" s="13"/>
      <c r="Q257" s="13"/>
      <c r="R257" s="13">
        <v>2</v>
      </c>
      <c r="S257" s="13"/>
      <c r="T257" s="13"/>
      <c r="U257" s="21">
        <f t="shared" si="156"/>
        <v>2</v>
      </c>
      <c r="V257" s="25">
        <f t="shared" si="158"/>
        <v>1</v>
      </c>
      <c r="W257" s="23">
        <f>S257/U257</f>
        <v>0</v>
      </c>
      <c r="X257" s="21"/>
      <c r="AA257" s="32" t="s">
        <v>27</v>
      </c>
      <c r="AB257" s="16"/>
      <c r="AC257" s="13"/>
      <c r="AD257" s="13">
        <v>17</v>
      </c>
      <c r="AE257" s="13"/>
      <c r="AF257" s="13"/>
      <c r="AG257" s="13"/>
      <c r="AH257" s="13"/>
      <c r="AJ257" s="21">
        <f t="shared" si="157"/>
        <v>17</v>
      </c>
      <c r="AK257" s="25">
        <f t="shared" si="159"/>
        <v>1</v>
      </c>
      <c r="AL257" s="23">
        <f>AE257/AJ257</f>
        <v>0</v>
      </c>
    </row>
    <row r="258" spans="1:39" ht="45">
      <c r="A258" s="74" t="s">
        <v>17</v>
      </c>
      <c r="B258" s="14">
        <v>0</v>
      </c>
      <c r="C258" s="14">
        <v>41</v>
      </c>
      <c r="D258" s="14">
        <v>0</v>
      </c>
      <c r="E258" s="14">
        <v>0</v>
      </c>
      <c r="F258" s="14">
        <f>SUM(B258:E258)</f>
        <v>41</v>
      </c>
      <c r="G258" s="14"/>
      <c r="H258" s="75"/>
      <c r="J258" s="46"/>
      <c r="K258" s="73"/>
      <c r="L258" s="73"/>
      <c r="M258" s="119"/>
      <c r="O258" s="20" t="s">
        <v>16</v>
      </c>
      <c r="P258" s="13"/>
      <c r="Q258" s="13"/>
      <c r="R258" s="13">
        <v>2</v>
      </c>
      <c r="S258" s="13"/>
      <c r="T258" s="13">
        <v>2</v>
      </c>
      <c r="U258" s="21">
        <f t="shared" si="156"/>
        <v>4</v>
      </c>
      <c r="V258" s="25">
        <f t="shared" si="158"/>
        <v>0.5</v>
      </c>
      <c r="W258" s="23">
        <f>T258/U258</f>
        <v>0.5</v>
      </c>
      <c r="X258" s="21"/>
      <c r="AA258" s="32" t="s">
        <v>28</v>
      </c>
      <c r="AB258" s="16"/>
      <c r="AC258" s="13"/>
      <c r="AD258" s="13"/>
      <c r="AE258" s="13">
        <v>20</v>
      </c>
      <c r="AF258" s="13"/>
      <c r="AG258" s="13"/>
      <c r="AH258" s="13"/>
      <c r="AJ258" s="21">
        <f t="shared" si="157"/>
        <v>20</v>
      </c>
      <c r="AK258" s="25">
        <f t="shared" si="159"/>
        <v>1</v>
      </c>
      <c r="AL258" s="23">
        <f>AF258/AJ258</f>
        <v>0</v>
      </c>
    </row>
    <row r="259" spans="1:39" ht="30">
      <c r="A259" s="74" t="s">
        <v>35</v>
      </c>
      <c r="B259" s="71">
        <v>0</v>
      </c>
      <c r="C259" s="71">
        <f>1-C260</f>
        <v>0.3902439024390244</v>
      </c>
      <c r="D259" s="71">
        <v>0</v>
      </c>
      <c r="E259" s="71">
        <v>0</v>
      </c>
      <c r="F259" s="77"/>
      <c r="G259" s="46" t="s">
        <v>32</v>
      </c>
      <c r="H259" s="36">
        <f>H264</f>
        <v>0</v>
      </c>
      <c r="J259" s="37"/>
      <c r="K259" s="21"/>
      <c r="L259" s="21"/>
      <c r="M259" s="115"/>
      <c r="O259" s="33" t="s">
        <v>17</v>
      </c>
      <c r="P259" s="21">
        <f>SUM(P254:P258)</f>
        <v>0</v>
      </c>
      <c r="Q259" s="21">
        <f>SUM(Q254:Q258)</f>
        <v>0</v>
      </c>
      <c r="R259" s="21">
        <f>SUM(R254:R258)</f>
        <v>39</v>
      </c>
      <c r="S259" s="21">
        <f>SUM(S254:S258)</f>
        <v>0</v>
      </c>
      <c r="T259" s="21">
        <f>SUM(T254:T258)</f>
        <v>2</v>
      </c>
      <c r="U259" s="21">
        <f t="shared" si="156"/>
        <v>41</v>
      </c>
      <c r="V259" s="21"/>
      <c r="W259" s="34"/>
      <c r="X259" s="21"/>
      <c r="AA259" s="32" t="s">
        <v>29</v>
      </c>
      <c r="AB259" s="16"/>
      <c r="AC259" s="13"/>
      <c r="AD259" s="13"/>
      <c r="AE259" s="13"/>
      <c r="AF259" s="13"/>
      <c r="AG259" s="13"/>
      <c r="AH259" s="13"/>
      <c r="AJ259" s="21">
        <f t="shared" si="157"/>
        <v>0</v>
      </c>
      <c r="AK259" s="25">
        <f t="shared" si="159"/>
        <v>0</v>
      </c>
      <c r="AL259" s="23">
        <v>1</v>
      </c>
    </row>
    <row r="260" spans="1:39" ht="46" thickBot="1">
      <c r="A260" s="78" t="s">
        <v>76</v>
      </c>
      <c r="B260" s="79">
        <v>1</v>
      </c>
      <c r="C260" s="79">
        <f>25/41</f>
        <v>0.6097560975609756</v>
      </c>
      <c r="D260" s="79">
        <v>1</v>
      </c>
      <c r="E260" s="79">
        <v>1</v>
      </c>
      <c r="F260" s="80"/>
      <c r="G260" s="52" t="s">
        <v>34</v>
      </c>
      <c r="H260" s="43">
        <f>I261</f>
        <v>0.6097560975609756</v>
      </c>
      <c r="J260" s="81"/>
      <c r="K260" s="82"/>
      <c r="L260" s="82"/>
      <c r="M260" s="120"/>
      <c r="O260" s="33" t="s">
        <v>31</v>
      </c>
      <c r="P260" s="25">
        <f>1-P261</f>
        <v>0</v>
      </c>
      <c r="Q260" s="25">
        <f t="shared" ref="Q260:T260" si="160">1-Q261</f>
        <v>0</v>
      </c>
      <c r="R260" s="25">
        <f t="shared" si="160"/>
        <v>0.4358974358974359</v>
      </c>
      <c r="S260" s="25">
        <f t="shared" si="160"/>
        <v>0</v>
      </c>
      <c r="T260" s="25">
        <f t="shared" si="160"/>
        <v>0</v>
      </c>
      <c r="U260" s="13"/>
      <c r="V260" s="46" t="s">
        <v>32</v>
      </c>
      <c r="W260" s="36">
        <f>W265</f>
        <v>0.14478527607361952</v>
      </c>
      <c r="X260" s="21"/>
      <c r="AA260" s="32" t="s">
        <v>30</v>
      </c>
      <c r="AB260" s="16"/>
      <c r="AC260" s="13"/>
      <c r="AD260" s="13"/>
      <c r="AE260" s="13"/>
      <c r="AF260" s="13"/>
      <c r="AG260" s="13"/>
      <c r="AH260" s="13"/>
      <c r="AJ260" s="21">
        <f t="shared" si="157"/>
        <v>0</v>
      </c>
      <c r="AK260" s="25">
        <f t="shared" si="159"/>
        <v>0</v>
      </c>
      <c r="AL260" s="23">
        <v>1</v>
      </c>
    </row>
    <row r="261" spans="1:39" ht="29" thickBot="1">
      <c r="A261" s="129" t="s">
        <v>136</v>
      </c>
      <c r="G261" s="4"/>
      <c r="I261" s="50">
        <f>SUM(B254,C255,D256,E257)/F258</f>
        <v>0.6097560975609756</v>
      </c>
      <c r="M261" s="120"/>
      <c r="O261" s="38" t="s">
        <v>33</v>
      </c>
      <c r="P261" s="39">
        <v>1</v>
      </c>
      <c r="Q261" s="40">
        <v>1</v>
      </c>
      <c r="R261" s="40">
        <f>R256/R259</f>
        <v>0.5641025641025641</v>
      </c>
      <c r="S261" s="40">
        <v>1</v>
      </c>
      <c r="T261" s="39">
        <f>T258/T259</f>
        <v>1</v>
      </c>
      <c r="U261" s="41"/>
      <c r="V261" s="52" t="s">
        <v>34</v>
      </c>
      <c r="W261" s="43">
        <f>X262</f>
        <v>0.58536585365853655</v>
      </c>
      <c r="X261" s="44"/>
      <c r="AA261" s="60" t="s">
        <v>16</v>
      </c>
      <c r="AB261" s="24"/>
      <c r="AC261" s="24"/>
      <c r="AD261" s="24">
        <v>2</v>
      </c>
      <c r="AE261" s="24">
        <v>2</v>
      </c>
      <c r="AF261" s="24"/>
      <c r="AG261" s="24"/>
      <c r="AH261" s="24"/>
      <c r="AI261" s="24"/>
      <c r="AJ261" s="21">
        <f>SUM(AB261:AI261)</f>
        <v>4</v>
      </c>
      <c r="AK261" s="25">
        <f t="shared" si="159"/>
        <v>1</v>
      </c>
      <c r="AL261" s="23">
        <f>AI261/AJ261</f>
        <v>0</v>
      </c>
    </row>
    <row r="262" spans="1:39" ht="28">
      <c r="A262" s="130" t="s">
        <v>135</v>
      </c>
      <c r="B262" s="122">
        <f>B258*F254</f>
        <v>0</v>
      </c>
      <c r="C262" s="122">
        <f>C258*F255</f>
        <v>1025</v>
      </c>
      <c r="D262" s="122">
        <f>D258*F256</f>
        <v>0</v>
      </c>
      <c r="E262" s="122">
        <f>E258*F257</f>
        <v>0</v>
      </c>
      <c r="F262" s="123">
        <f>SUM(B262:E262)</f>
        <v>1025</v>
      </c>
      <c r="G262" s="128"/>
      <c r="H262" s="123"/>
      <c r="I262" s="44"/>
      <c r="M262" s="121"/>
      <c r="O262" s="129" t="s">
        <v>136</v>
      </c>
      <c r="V262" s="4"/>
      <c r="X262" s="50">
        <f>SUM(P254,Q255,R256,S257,T258)/U259</f>
        <v>0.58536585365853655</v>
      </c>
      <c r="AA262" s="33" t="s">
        <v>17</v>
      </c>
      <c r="AB262" s="21">
        <f t="shared" ref="AB262:AH262" si="161">SUM(AB254:AB261)</f>
        <v>0</v>
      </c>
      <c r="AC262" s="21">
        <f t="shared" si="161"/>
        <v>0</v>
      </c>
      <c r="AD262" s="21">
        <f t="shared" si="161"/>
        <v>19</v>
      </c>
      <c r="AE262" s="21">
        <f t="shared" si="161"/>
        <v>22</v>
      </c>
      <c r="AF262" s="21">
        <f t="shared" si="161"/>
        <v>0</v>
      </c>
      <c r="AG262" s="21">
        <f t="shared" si="161"/>
        <v>0</v>
      </c>
      <c r="AH262" s="21">
        <f t="shared" si="161"/>
        <v>0</v>
      </c>
      <c r="AI262" s="21">
        <f>SUM(AI254:AI261)</f>
        <v>0</v>
      </c>
      <c r="AJ262" s="21">
        <f>SUM(AB262:AI262)</f>
        <v>41</v>
      </c>
      <c r="AL262" s="51"/>
    </row>
    <row r="263" spans="1:39" ht="29" thickBot="1">
      <c r="A263" s="131" t="s">
        <v>134</v>
      </c>
      <c r="B263" s="124">
        <f>(B258*$F254)+(B258*$F255)+(B258*$F256)+(B258*$F257)</f>
        <v>0</v>
      </c>
      <c r="C263" s="124">
        <f t="shared" ref="C263:E263" si="162">(C258*$F254)+(C258*$F255)+(C258*$F256)+(C258*$F257)</f>
        <v>1681</v>
      </c>
      <c r="D263" s="124">
        <f t="shared" si="162"/>
        <v>0</v>
      </c>
      <c r="E263" s="124">
        <f t="shared" si="162"/>
        <v>0</v>
      </c>
      <c r="F263" s="125">
        <f>SUM(B263:E263)</f>
        <v>1681</v>
      </c>
      <c r="G263" s="127"/>
      <c r="H263" s="125" t="s">
        <v>32</v>
      </c>
      <c r="I263" s="44"/>
      <c r="M263" s="121"/>
      <c r="O263" s="141" t="s">
        <v>135</v>
      </c>
      <c r="P263" s="122">
        <f>P259*U254</f>
        <v>0</v>
      </c>
      <c r="Q263" s="122">
        <f>Q259*U255</f>
        <v>0</v>
      </c>
      <c r="R263" s="122">
        <f>R259*U256</f>
        <v>858</v>
      </c>
      <c r="S263" s="122">
        <f>S259*U257</f>
        <v>0</v>
      </c>
      <c r="T263" s="122">
        <f>T259*U258</f>
        <v>8</v>
      </c>
      <c r="U263" s="123">
        <f>SUM(N263:T263)</f>
        <v>866</v>
      </c>
      <c r="V263" s="128"/>
      <c r="W263" s="123"/>
      <c r="X263" s="44"/>
      <c r="AA263" s="33" t="s">
        <v>35</v>
      </c>
      <c r="AB263" s="53">
        <f>1-AB264</f>
        <v>0</v>
      </c>
      <c r="AC263" s="54">
        <f>1-AC264</f>
        <v>0</v>
      </c>
      <c r="AD263" s="54">
        <f t="shared" ref="AD263:AI263" si="163">1-AD264</f>
        <v>1</v>
      </c>
      <c r="AE263" s="54">
        <f t="shared" si="163"/>
        <v>1</v>
      </c>
      <c r="AF263" s="54">
        <f t="shared" si="163"/>
        <v>0</v>
      </c>
      <c r="AG263" s="54">
        <f t="shared" si="163"/>
        <v>0</v>
      </c>
      <c r="AH263" s="54">
        <f t="shared" si="163"/>
        <v>0</v>
      </c>
      <c r="AI263" s="54">
        <f t="shared" si="163"/>
        <v>0</v>
      </c>
      <c r="AK263" s="35" t="s">
        <v>32</v>
      </c>
      <c r="AL263" s="36">
        <f>AL268</f>
        <v>-0.2861514919663351</v>
      </c>
    </row>
    <row r="264" spans="1:39" ht="34" thickTop="1" thickBot="1">
      <c r="A264" s="13"/>
      <c r="B264" s="115"/>
      <c r="C264" s="115"/>
      <c r="D264" s="115"/>
      <c r="E264" s="115"/>
      <c r="F264" t="s">
        <v>110</v>
      </c>
      <c r="G264" s="102">
        <f>I261</f>
        <v>0.6097560975609756</v>
      </c>
      <c r="H264" s="104">
        <f>(G264-G265)/(1-G265)</f>
        <v>0</v>
      </c>
      <c r="I264" s="44"/>
      <c r="M264" s="121"/>
      <c r="O264" s="142" t="s">
        <v>134</v>
      </c>
      <c r="P264" s="124">
        <f>(P259*$U254)+(P259*$U255)+(P259*$U256)+(P259*$U257)+(P259*$U258)</f>
        <v>0</v>
      </c>
      <c r="Q264" s="124">
        <f t="shared" ref="Q264:T264" si="164">(Q259*$U254)+(Q259*$U255)+(Q259*$U256)+(Q259*$U257)+(Q259*$U258)</f>
        <v>0</v>
      </c>
      <c r="R264" s="124">
        <f t="shared" si="164"/>
        <v>1599</v>
      </c>
      <c r="S264" s="124">
        <f t="shared" si="164"/>
        <v>0</v>
      </c>
      <c r="T264" s="124">
        <f t="shared" si="164"/>
        <v>82</v>
      </c>
      <c r="U264" s="125">
        <f>SUM(N264:T264)</f>
        <v>1681</v>
      </c>
      <c r="V264" s="127"/>
      <c r="W264" s="125" t="s">
        <v>32</v>
      </c>
      <c r="X264" s="44"/>
      <c r="AA264" s="38" t="s">
        <v>33</v>
      </c>
      <c r="AB264" s="56">
        <v>1</v>
      </c>
      <c r="AC264" s="57">
        <v>1</v>
      </c>
      <c r="AD264" s="57">
        <f>AD256/AD262</f>
        <v>0</v>
      </c>
      <c r="AE264" s="57">
        <f>AE257/AE262</f>
        <v>0</v>
      </c>
      <c r="AF264" s="57">
        <v>1</v>
      </c>
      <c r="AG264" s="57">
        <v>1</v>
      </c>
      <c r="AH264" s="63">
        <v>1</v>
      </c>
      <c r="AI264" s="63">
        <v>1</v>
      </c>
      <c r="AJ264" s="41"/>
      <c r="AK264" s="42" t="s">
        <v>34</v>
      </c>
      <c r="AL264" s="43">
        <f>AM265</f>
        <v>0</v>
      </c>
    </row>
    <row r="265" spans="1:39" ht="22" thickTop="1">
      <c r="A265" s="95"/>
      <c r="B265" s="115"/>
      <c r="C265" s="115"/>
      <c r="D265" s="115"/>
      <c r="E265" s="115"/>
      <c r="F265" t="s">
        <v>111</v>
      </c>
      <c r="G265" s="103">
        <f>F262/F263</f>
        <v>0.6097560975609756</v>
      </c>
      <c r="H265" s="101"/>
      <c r="M265" s="121"/>
      <c r="O265" s="13"/>
      <c r="P265" s="115"/>
      <c r="Q265" s="115"/>
      <c r="R265" s="115"/>
      <c r="S265" s="115"/>
      <c r="T265" s="115"/>
      <c r="U265" t="s">
        <v>110</v>
      </c>
      <c r="V265" s="102">
        <f>X262</f>
        <v>0.58536585365853655</v>
      </c>
      <c r="W265" s="104">
        <f>(V265-V266)/(1-V266)</f>
        <v>0.14478527607361952</v>
      </c>
      <c r="X265" s="44"/>
      <c r="AA265" s="129" t="s">
        <v>136</v>
      </c>
      <c r="AK265" s="4"/>
      <c r="AM265" s="50">
        <f>SUM(AB254,AC255,AD256,AE257,AF258,AG259,AH260,AI261)/AJ262</f>
        <v>0</v>
      </c>
    </row>
    <row r="266" spans="1:39" ht="21">
      <c r="A266" s="24"/>
      <c r="B266" s="100"/>
      <c r="C266" s="100"/>
      <c r="D266" s="100"/>
      <c r="E266" s="100"/>
      <c r="F266" s="111"/>
      <c r="G266" s="132"/>
      <c r="H266" s="101"/>
      <c r="O266" s="187"/>
      <c r="P266" s="115"/>
      <c r="Q266" s="115"/>
      <c r="R266" s="115"/>
      <c r="S266" s="115"/>
      <c r="T266" s="115"/>
      <c r="U266" t="s">
        <v>111</v>
      </c>
      <c r="V266" s="103">
        <f>U263/U264</f>
        <v>0.51516954193932185</v>
      </c>
      <c r="W266" s="101"/>
      <c r="AA266" s="141" t="s">
        <v>135</v>
      </c>
      <c r="AB266" s="122">
        <f>AB262*AJ254</f>
        <v>0</v>
      </c>
      <c r="AC266" s="122">
        <f>AC262*AJ255</f>
        <v>0</v>
      </c>
      <c r="AD266" s="122">
        <f>AD262*AJ256</f>
        <v>0</v>
      </c>
      <c r="AE266" s="122">
        <f>AE262*AJ257</f>
        <v>374</v>
      </c>
      <c r="AF266" s="122">
        <f>AF262*AJ258</f>
        <v>0</v>
      </c>
      <c r="AG266" s="122">
        <f>AG262*AJ259</f>
        <v>0</v>
      </c>
      <c r="AH266" s="122">
        <f>AH262*AJ260</f>
        <v>0</v>
      </c>
      <c r="AI266" s="122">
        <f>AI262*AJ261</f>
        <v>0</v>
      </c>
      <c r="AJ266" s="123">
        <f>SUM(AB266:AI266)</f>
        <v>374</v>
      </c>
      <c r="AK266" s="128"/>
      <c r="AL266" s="123"/>
      <c r="AM266" s="44"/>
    </row>
    <row r="267" spans="1:39" ht="29" thickBot="1">
      <c r="A267" s="24"/>
      <c r="B267" s="24"/>
      <c r="C267" s="24"/>
      <c r="D267" s="24"/>
      <c r="E267" s="24"/>
      <c r="F267" s="24"/>
      <c r="G267" s="24"/>
      <c r="H267" s="24"/>
      <c r="O267" s="24"/>
      <c r="P267" s="100"/>
      <c r="Q267" s="100"/>
      <c r="R267" s="100"/>
      <c r="S267" s="100"/>
      <c r="T267" s="100"/>
      <c r="U267" s="111"/>
      <c r="V267" s="132"/>
      <c r="W267" s="133"/>
      <c r="AA267" s="142" t="s">
        <v>134</v>
      </c>
      <c r="AB267" s="124">
        <f>(AB262*$AJ254)+(AB262*$AJ255)+(AB262*$AJ256)+(AB262*$AJ257)+(AB262*$AJ258)+(AB262*$AJ259)+(AB262*$AJ260)+(AB262*$AJ261)</f>
        <v>0</v>
      </c>
      <c r="AC267" s="124">
        <f t="shared" ref="AC267:AH267" si="165">(AC262*$AJ254)+(AC262*$AJ255)+(AC262*$AJ256)+(AC262*$AJ257)+(AC262*$AJ258)+(AC262*$AJ259)+(AC262*$AJ260)+(AC262*$AJ261)</f>
        <v>0</v>
      </c>
      <c r="AD267" s="124">
        <f t="shared" si="165"/>
        <v>779</v>
      </c>
      <c r="AE267" s="124">
        <f t="shared" si="165"/>
        <v>902</v>
      </c>
      <c r="AF267" s="124">
        <f t="shared" si="165"/>
        <v>0</v>
      </c>
      <c r="AG267" s="124">
        <f t="shared" si="165"/>
        <v>0</v>
      </c>
      <c r="AH267" s="124">
        <f t="shared" si="165"/>
        <v>0</v>
      </c>
      <c r="AI267" s="124">
        <f>(AI262*$AJ254)+(AI262*$AJ255)+(AI262*$AJ256)+(AI262*$AJ257)+(AI262*$AJ258)+(AI262*$AJ259)+(AI262*$AJ260)+(AI262*$AJ261)</f>
        <v>0</v>
      </c>
      <c r="AJ267" s="125">
        <f>SUM(AB267:AI267)</f>
        <v>1681</v>
      </c>
      <c r="AK267" s="127"/>
      <c r="AL267" s="125" t="s">
        <v>32</v>
      </c>
      <c r="AM267" s="44"/>
    </row>
    <row r="268" spans="1:39" ht="22" thickTop="1">
      <c r="A268" s="24"/>
      <c r="B268" s="24"/>
      <c r="C268" s="24"/>
      <c r="D268" s="24"/>
      <c r="E268" s="24"/>
      <c r="F268" s="24"/>
      <c r="G268" s="24"/>
      <c r="H268" s="24"/>
      <c r="O268" s="24"/>
      <c r="P268" s="100"/>
      <c r="Q268" s="100"/>
      <c r="R268" s="100"/>
      <c r="S268" s="100"/>
      <c r="T268" s="100"/>
      <c r="U268" s="111"/>
      <c r="V268" s="132"/>
      <c r="W268" s="101"/>
      <c r="AA268" s="187"/>
      <c r="AB268" s="13"/>
      <c r="AC268" s="115"/>
      <c r="AD268" s="115"/>
      <c r="AE268" s="115"/>
      <c r="AF268" s="115"/>
      <c r="AG268" s="115"/>
      <c r="AJ268" t="s">
        <v>110</v>
      </c>
      <c r="AK268" s="102">
        <f>AM265</f>
        <v>0</v>
      </c>
      <c r="AL268" s="104">
        <f>(AK268-AK269)/(1-AK269)</f>
        <v>-0.2861514919663351</v>
      </c>
      <c r="AM268" s="44"/>
    </row>
    <row r="269" spans="1:39" ht="21">
      <c r="A269" s="59"/>
      <c r="B269" s="59"/>
      <c r="C269" s="59"/>
      <c r="D269" s="59"/>
      <c r="E269" s="59"/>
      <c r="F269" s="59"/>
      <c r="G269" s="59"/>
      <c r="H269" s="59"/>
      <c r="O269" s="59"/>
      <c r="P269" s="59"/>
      <c r="Q269" s="59"/>
      <c r="R269" s="59"/>
      <c r="S269" s="59"/>
      <c r="T269" s="59"/>
      <c r="U269" s="59"/>
      <c r="V269" s="59"/>
      <c r="AA269" s="59"/>
      <c r="AB269" s="187"/>
      <c r="AC269" s="115"/>
      <c r="AD269" s="115"/>
      <c r="AE269" s="115"/>
      <c r="AF269" s="115"/>
      <c r="AG269" s="115"/>
      <c r="AJ269" t="s">
        <v>111</v>
      </c>
      <c r="AK269" s="103">
        <f>AJ266/AJ267</f>
        <v>0.22248661511005355</v>
      </c>
      <c r="AL269" s="101"/>
    </row>
    <row r="270" spans="1:39" ht="21">
      <c r="A270" s="59"/>
      <c r="B270" s="59"/>
      <c r="C270" s="59"/>
      <c r="D270" s="59"/>
      <c r="E270" s="59"/>
      <c r="F270" s="59"/>
      <c r="G270" s="59"/>
      <c r="H270" s="59"/>
      <c r="O270" s="59"/>
      <c r="P270" s="59"/>
      <c r="Q270" s="59"/>
      <c r="R270" s="59"/>
      <c r="S270" s="59"/>
      <c r="T270" s="59"/>
      <c r="U270" s="59"/>
      <c r="V270" s="59"/>
      <c r="AA270" s="59"/>
      <c r="AB270" s="136"/>
      <c r="AC270" s="136"/>
      <c r="AD270" s="136"/>
      <c r="AE270" s="136"/>
      <c r="AF270" s="136"/>
      <c r="AG270" s="136"/>
      <c r="AH270" s="136"/>
      <c r="AI270" s="136"/>
      <c r="AJ270" s="137"/>
      <c r="AK270" s="138"/>
      <c r="AL270" s="135"/>
    </row>
    <row r="271" spans="1:39">
      <c r="J271"/>
    </row>
    <row r="272" spans="1:39" ht="17" thickBot="1">
      <c r="A272" s="188" t="s">
        <v>8</v>
      </c>
      <c r="B272" s="188"/>
      <c r="C272" s="188"/>
      <c r="D272" s="188"/>
      <c r="E272" s="188"/>
      <c r="F272" s="188"/>
      <c r="G272" s="188"/>
      <c r="H272" s="188"/>
      <c r="J272" s="189"/>
      <c r="K272" s="189"/>
      <c r="L272" s="189"/>
      <c r="M272" s="118"/>
      <c r="O272" s="188" t="s">
        <v>8</v>
      </c>
      <c r="P272" s="188"/>
      <c r="Q272" s="188"/>
      <c r="R272" s="188"/>
      <c r="S272" s="188"/>
      <c r="T272" s="188"/>
      <c r="U272" s="188"/>
      <c r="V272" s="188"/>
      <c r="W272" s="188"/>
      <c r="X272" s="190"/>
      <c r="AA272" s="188" t="s">
        <v>8</v>
      </c>
      <c r="AB272" s="188"/>
      <c r="AC272" s="188"/>
      <c r="AD272" s="188"/>
      <c r="AE272" s="188"/>
      <c r="AF272" s="188"/>
      <c r="AG272" s="188"/>
      <c r="AH272" s="188"/>
      <c r="AI272" s="188"/>
      <c r="AJ272" s="188"/>
      <c r="AK272" s="188"/>
      <c r="AL272" s="6"/>
    </row>
    <row r="273" spans="1:39" ht="91" thickBot="1">
      <c r="A273" s="65" t="s">
        <v>77</v>
      </c>
      <c r="B273" s="66" t="s">
        <v>10</v>
      </c>
      <c r="C273" s="66" t="s">
        <v>13</v>
      </c>
      <c r="D273" s="66" t="s">
        <v>15</v>
      </c>
      <c r="E273" s="66" t="s">
        <v>16</v>
      </c>
      <c r="F273" s="67" t="s">
        <v>17</v>
      </c>
      <c r="G273" s="67" t="s">
        <v>18</v>
      </c>
      <c r="H273" s="68" t="s">
        <v>19</v>
      </c>
      <c r="J273" s="37"/>
      <c r="K273" s="21"/>
      <c r="L273" s="21"/>
      <c r="M273" s="115"/>
      <c r="O273" s="8" t="s">
        <v>78</v>
      </c>
      <c r="P273" s="9" t="s">
        <v>10</v>
      </c>
      <c r="Q273" s="9" t="s">
        <v>11</v>
      </c>
      <c r="R273" s="9" t="s">
        <v>21</v>
      </c>
      <c r="S273" s="9" t="s">
        <v>22</v>
      </c>
      <c r="T273" s="9" t="s">
        <v>16</v>
      </c>
      <c r="U273" s="10" t="s">
        <v>17</v>
      </c>
      <c r="V273" s="15" t="s">
        <v>18</v>
      </c>
      <c r="W273" s="12" t="s">
        <v>19</v>
      </c>
      <c r="X273" s="16"/>
      <c r="AA273" s="8" t="s">
        <v>79</v>
      </c>
      <c r="AB273" s="17" t="s">
        <v>24</v>
      </c>
      <c r="AC273" s="17" t="s">
        <v>25</v>
      </c>
      <c r="AD273" s="17" t="s">
        <v>26</v>
      </c>
      <c r="AE273" s="17" t="s">
        <v>27</v>
      </c>
      <c r="AF273" s="17" t="s">
        <v>28</v>
      </c>
      <c r="AG273" s="17" t="s">
        <v>29</v>
      </c>
      <c r="AH273" s="17" t="s">
        <v>30</v>
      </c>
      <c r="AI273" s="17" t="s">
        <v>16</v>
      </c>
      <c r="AJ273" s="18" t="s">
        <v>17</v>
      </c>
      <c r="AK273" s="18" t="s">
        <v>18</v>
      </c>
      <c r="AL273" s="19" t="s">
        <v>19</v>
      </c>
    </row>
    <row r="274" spans="1:39" ht="56">
      <c r="A274" s="69" t="s">
        <v>75</v>
      </c>
      <c r="B274" s="70">
        <v>0</v>
      </c>
      <c r="C274" s="70">
        <v>12</v>
      </c>
      <c r="D274" s="70">
        <v>0</v>
      </c>
      <c r="E274" s="70">
        <v>0</v>
      </c>
      <c r="F274" s="14">
        <f>SUM(B274:E274)</f>
        <v>12</v>
      </c>
      <c r="G274" s="71">
        <v>1</v>
      </c>
      <c r="H274" s="72">
        <f>0/11</f>
        <v>0</v>
      </c>
      <c r="J274" s="58"/>
      <c r="K274" s="73"/>
      <c r="L274" s="73"/>
      <c r="M274" s="119"/>
      <c r="O274" s="20" t="s">
        <v>10</v>
      </c>
      <c r="P274" s="13"/>
      <c r="Q274" s="13"/>
      <c r="R274" s="13">
        <v>12</v>
      </c>
      <c r="S274" s="13"/>
      <c r="T274" s="13"/>
      <c r="U274" s="21">
        <f t="shared" ref="U274:U279" si="166">SUM(P274:T274)</f>
        <v>12</v>
      </c>
      <c r="V274" s="25">
        <f>1-W274</f>
        <v>1</v>
      </c>
      <c r="W274" s="23">
        <f>P274/U274</f>
        <v>0</v>
      </c>
      <c r="X274" s="21"/>
      <c r="AA274" s="26" t="s">
        <v>24</v>
      </c>
      <c r="AB274" s="27"/>
      <c r="AC274" s="28"/>
      <c r="AD274" s="28"/>
      <c r="AE274" s="28"/>
      <c r="AF274" s="28"/>
      <c r="AG274" s="28"/>
      <c r="AH274" s="28"/>
      <c r="AJ274" s="29">
        <f t="shared" ref="AJ274:AJ280" si="167">SUM(AB274:AH274)</f>
        <v>0</v>
      </c>
      <c r="AK274" s="30">
        <f>1-AL274</f>
        <v>0</v>
      </c>
      <c r="AL274" s="31">
        <v>1</v>
      </c>
    </row>
    <row r="275" spans="1:39" ht="45">
      <c r="A275" s="69" t="s">
        <v>13</v>
      </c>
      <c r="B275" s="70">
        <v>0</v>
      </c>
      <c r="C275" s="70">
        <v>27</v>
      </c>
      <c r="D275" s="70">
        <v>0</v>
      </c>
      <c r="E275" s="70">
        <v>0</v>
      </c>
      <c r="F275" s="14">
        <f>SUM(B275:E275)</f>
        <v>27</v>
      </c>
      <c r="G275" s="71">
        <v>0</v>
      </c>
      <c r="H275" s="72">
        <v>1</v>
      </c>
      <c r="J275" s="58"/>
      <c r="K275" s="73"/>
      <c r="L275" s="73"/>
      <c r="M275" s="119"/>
      <c r="O275" s="20" t="s">
        <v>11</v>
      </c>
      <c r="P275" s="13"/>
      <c r="Q275" s="13"/>
      <c r="R275" s="13"/>
      <c r="S275" s="13"/>
      <c r="T275" s="13"/>
      <c r="U275" s="21">
        <f t="shared" si="166"/>
        <v>0</v>
      </c>
      <c r="V275" s="25">
        <f t="shared" ref="V275:V278" si="168">1-W275</f>
        <v>0</v>
      </c>
      <c r="W275" s="23">
        <v>1</v>
      </c>
      <c r="X275" s="21"/>
      <c r="AA275" s="32" t="s">
        <v>25</v>
      </c>
      <c r="AB275" s="16"/>
      <c r="AC275" s="13"/>
      <c r="AD275" s="13"/>
      <c r="AE275" s="13"/>
      <c r="AF275" s="13"/>
      <c r="AG275" s="13"/>
      <c r="AH275" s="13"/>
      <c r="AJ275" s="21">
        <f t="shared" si="167"/>
        <v>0</v>
      </c>
      <c r="AK275" s="25">
        <f>1-AL275</f>
        <v>0</v>
      </c>
      <c r="AL275" s="23">
        <v>1</v>
      </c>
    </row>
    <row r="276" spans="1:39" ht="45">
      <c r="A276" s="69" t="s">
        <v>15</v>
      </c>
      <c r="B276" s="70">
        <v>0</v>
      </c>
      <c r="C276" s="70">
        <v>0</v>
      </c>
      <c r="D276" s="70">
        <v>0</v>
      </c>
      <c r="E276" s="70">
        <v>0</v>
      </c>
      <c r="F276" s="14">
        <f>SUM(B276:E276)</f>
        <v>0</v>
      </c>
      <c r="G276" s="71">
        <v>0</v>
      </c>
      <c r="H276" s="72">
        <v>1</v>
      </c>
      <c r="J276" s="58"/>
      <c r="K276" s="73"/>
      <c r="L276" s="73"/>
      <c r="M276" s="119"/>
      <c r="O276" s="20" t="s">
        <v>21</v>
      </c>
      <c r="P276" s="13"/>
      <c r="Q276" s="13"/>
      <c r="R276" s="13">
        <v>26</v>
      </c>
      <c r="S276" s="13"/>
      <c r="T276" s="13"/>
      <c r="U276" s="21">
        <f t="shared" si="166"/>
        <v>26</v>
      </c>
      <c r="V276" s="25">
        <f t="shared" si="168"/>
        <v>0</v>
      </c>
      <c r="W276" s="23">
        <f>R276/U276</f>
        <v>1</v>
      </c>
      <c r="X276" s="21"/>
      <c r="AA276" s="32" t="s">
        <v>26</v>
      </c>
      <c r="AB276" s="16"/>
      <c r="AC276" s="13"/>
      <c r="AD276" s="13"/>
      <c r="AE276" s="13"/>
      <c r="AF276" s="13"/>
      <c r="AG276" s="13"/>
      <c r="AH276" s="13"/>
      <c r="AJ276" s="21">
        <f t="shared" si="167"/>
        <v>0</v>
      </c>
      <c r="AK276" s="25">
        <f t="shared" ref="AK276:AK281" si="169">1-AL276</f>
        <v>0</v>
      </c>
      <c r="AL276" s="23">
        <v>1</v>
      </c>
    </row>
    <row r="277" spans="1:39" ht="42">
      <c r="A277" s="69" t="s">
        <v>16</v>
      </c>
      <c r="B277" s="70">
        <v>0</v>
      </c>
      <c r="C277" s="70">
        <v>2</v>
      </c>
      <c r="D277" s="70">
        <v>0</v>
      </c>
      <c r="E277" s="70">
        <v>0</v>
      </c>
      <c r="F277" s="14">
        <f>SUM(B277:E277)</f>
        <v>2</v>
      </c>
      <c r="G277" s="71">
        <v>1</v>
      </c>
      <c r="H277" s="72">
        <f>0/11</f>
        <v>0</v>
      </c>
      <c r="J277" s="58"/>
      <c r="K277" s="73"/>
      <c r="L277" s="73"/>
      <c r="M277" s="119"/>
      <c r="O277" s="20" t="s">
        <v>22</v>
      </c>
      <c r="P277" s="13"/>
      <c r="Q277" s="13"/>
      <c r="R277" s="13"/>
      <c r="S277" s="13"/>
      <c r="T277" s="13"/>
      <c r="U277" s="21">
        <f t="shared" si="166"/>
        <v>0</v>
      </c>
      <c r="V277" s="25">
        <f t="shared" si="168"/>
        <v>1</v>
      </c>
      <c r="W277" s="23">
        <v>0</v>
      </c>
      <c r="X277" s="21"/>
      <c r="AA277" s="32" t="s">
        <v>27</v>
      </c>
      <c r="AB277" s="16"/>
      <c r="AC277" s="13"/>
      <c r="AD277" s="13">
        <v>18</v>
      </c>
      <c r="AE277" s="13">
        <v>20</v>
      </c>
      <c r="AF277" s="13"/>
      <c r="AG277" s="13"/>
      <c r="AH277" s="13"/>
      <c r="AJ277" s="21">
        <f t="shared" si="167"/>
        <v>38</v>
      </c>
      <c r="AK277" s="25">
        <f t="shared" si="169"/>
        <v>0.47368421052631582</v>
      </c>
      <c r="AL277" s="23">
        <f>AE277/AJ277</f>
        <v>0.52631578947368418</v>
      </c>
    </row>
    <row r="278" spans="1:39" ht="45">
      <c r="A278" s="74" t="s">
        <v>17</v>
      </c>
      <c r="B278" s="14">
        <v>0</v>
      </c>
      <c r="C278" s="14">
        <v>41</v>
      </c>
      <c r="D278" s="14">
        <v>0</v>
      </c>
      <c r="E278" s="14">
        <v>0</v>
      </c>
      <c r="F278" s="14">
        <f>SUM(B278:E278)</f>
        <v>41</v>
      </c>
      <c r="G278" s="14"/>
      <c r="H278" s="75"/>
      <c r="J278" s="46"/>
      <c r="K278" s="73"/>
      <c r="L278" s="73"/>
      <c r="M278" s="119"/>
      <c r="O278" s="20" t="s">
        <v>16</v>
      </c>
      <c r="P278" s="13"/>
      <c r="Q278" s="13"/>
      <c r="R278" s="13">
        <v>1</v>
      </c>
      <c r="S278" s="13"/>
      <c r="T278" s="13">
        <v>2</v>
      </c>
      <c r="U278" s="21">
        <f t="shared" si="166"/>
        <v>3</v>
      </c>
      <c r="V278" s="25">
        <f t="shared" si="168"/>
        <v>0.33333333333333337</v>
      </c>
      <c r="W278" s="23">
        <f>T278/U278</f>
        <v>0.66666666666666663</v>
      </c>
      <c r="X278" s="21"/>
      <c r="AA278" s="32" t="s">
        <v>28</v>
      </c>
      <c r="AB278" s="16"/>
      <c r="AC278" s="13"/>
      <c r="AD278" s="13"/>
      <c r="AE278" s="13"/>
      <c r="AF278" s="13"/>
      <c r="AG278" s="13"/>
      <c r="AH278" s="13"/>
      <c r="AJ278" s="21">
        <f t="shared" si="167"/>
        <v>0</v>
      </c>
      <c r="AK278" s="25">
        <f t="shared" si="169"/>
        <v>0</v>
      </c>
      <c r="AL278" s="23">
        <v>1</v>
      </c>
    </row>
    <row r="279" spans="1:39" ht="30">
      <c r="A279" s="74" t="s">
        <v>35</v>
      </c>
      <c r="B279" s="71">
        <v>0</v>
      </c>
      <c r="C279" s="71">
        <f>1-C280</f>
        <v>0.34146341463414631</v>
      </c>
      <c r="D279" s="71">
        <v>0</v>
      </c>
      <c r="E279" s="71">
        <v>0</v>
      </c>
      <c r="F279" s="77"/>
      <c r="G279" s="46" t="s">
        <v>32</v>
      </c>
      <c r="H279" s="36">
        <f>H284</f>
        <v>0</v>
      </c>
      <c r="J279" s="37"/>
      <c r="K279" s="21"/>
      <c r="L279" s="21"/>
      <c r="M279" s="115"/>
      <c r="O279" s="33" t="s">
        <v>17</v>
      </c>
      <c r="P279" s="21">
        <f>SUM(P274:P278)</f>
        <v>0</v>
      </c>
      <c r="Q279" s="21">
        <f>SUM(Q274:Q278)</f>
        <v>0</v>
      </c>
      <c r="R279" s="21">
        <f>SUM(R274:R278)</f>
        <v>39</v>
      </c>
      <c r="S279" s="21">
        <f>SUM(S274:S278)</f>
        <v>0</v>
      </c>
      <c r="T279" s="21">
        <f>SUM(T274:T278)</f>
        <v>2</v>
      </c>
      <c r="U279" s="21">
        <f t="shared" si="166"/>
        <v>41</v>
      </c>
      <c r="V279" s="21"/>
      <c r="W279" s="34"/>
      <c r="X279" s="21"/>
      <c r="AA279" s="32" t="s">
        <v>29</v>
      </c>
      <c r="AB279" s="16"/>
      <c r="AC279" s="13"/>
      <c r="AD279" s="13"/>
      <c r="AE279" s="13"/>
      <c r="AF279" s="13"/>
      <c r="AG279" s="13"/>
      <c r="AH279" s="13"/>
      <c r="AJ279" s="21">
        <f t="shared" si="167"/>
        <v>0</v>
      </c>
      <c r="AK279" s="25">
        <f t="shared" si="169"/>
        <v>0</v>
      </c>
      <c r="AL279" s="23">
        <v>1</v>
      </c>
    </row>
    <row r="280" spans="1:39" ht="46" thickBot="1">
      <c r="A280" s="78" t="s">
        <v>76</v>
      </c>
      <c r="B280" s="79">
        <v>1</v>
      </c>
      <c r="C280" s="79">
        <f>27/41</f>
        <v>0.65853658536585369</v>
      </c>
      <c r="D280" s="79">
        <v>1</v>
      </c>
      <c r="E280" s="79">
        <v>1</v>
      </c>
      <c r="F280" s="80"/>
      <c r="G280" s="52" t="s">
        <v>34</v>
      </c>
      <c r="H280" s="43">
        <f>I281</f>
        <v>0.65853658536585369</v>
      </c>
      <c r="J280" s="81"/>
      <c r="K280" s="82"/>
      <c r="L280" s="82"/>
      <c r="M280" s="120"/>
      <c r="O280" s="33" t="s">
        <v>31</v>
      </c>
      <c r="P280" s="25">
        <f>1-P281</f>
        <v>0</v>
      </c>
      <c r="Q280" s="25">
        <f t="shared" ref="Q280:T280" si="170">1-Q281</f>
        <v>0</v>
      </c>
      <c r="R280" s="25">
        <f t="shared" si="170"/>
        <v>0.33333333333333337</v>
      </c>
      <c r="S280" s="25">
        <f t="shared" si="170"/>
        <v>0</v>
      </c>
      <c r="T280" s="25">
        <f t="shared" si="170"/>
        <v>0</v>
      </c>
      <c r="U280" s="13"/>
      <c r="V280" s="46" t="s">
        <v>32</v>
      </c>
      <c r="W280" s="36">
        <f>W285</f>
        <v>0.19364599092284435</v>
      </c>
      <c r="X280" s="21"/>
      <c r="AA280" s="32" t="s">
        <v>30</v>
      </c>
      <c r="AB280" s="16"/>
      <c r="AC280" s="13"/>
      <c r="AD280" s="13"/>
      <c r="AE280" s="13"/>
      <c r="AF280" s="13"/>
      <c r="AG280" s="13"/>
      <c r="AH280" s="13"/>
      <c r="AJ280" s="21">
        <f t="shared" si="167"/>
        <v>0</v>
      </c>
      <c r="AK280" s="25">
        <f t="shared" si="169"/>
        <v>0</v>
      </c>
      <c r="AL280" s="23">
        <v>1</v>
      </c>
    </row>
    <row r="281" spans="1:39" ht="29" thickBot="1">
      <c r="A281" s="129" t="s">
        <v>136</v>
      </c>
      <c r="G281" s="4"/>
      <c r="I281" s="50">
        <f>SUM(B274,C275,D276,E277)/F278</f>
        <v>0.65853658536585369</v>
      </c>
      <c r="J281" s="81"/>
      <c r="K281" s="82"/>
      <c r="L281" s="82"/>
      <c r="M281" s="120"/>
      <c r="O281" s="38" t="s">
        <v>33</v>
      </c>
      <c r="P281" s="39">
        <v>1</v>
      </c>
      <c r="Q281" s="40">
        <v>1</v>
      </c>
      <c r="R281" s="40">
        <f>R276/R279</f>
        <v>0.66666666666666663</v>
      </c>
      <c r="S281" s="40">
        <v>1</v>
      </c>
      <c r="T281" s="39">
        <f>T278/T279</f>
        <v>1</v>
      </c>
      <c r="U281" s="41"/>
      <c r="V281" s="52" t="s">
        <v>34</v>
      </c>
      <c r="W281" s="43">
        <f>X282</f>
        <v>0.68292682926829273</v>
      </c>
      <c r="X281" s="44"/>
      <c r="AA281" s="60" t="s">
        <v>16</v>
      </c>
      <c r="AD281" s="24">
        <v>1</v>
      </c>
      <c r="AE281" s="24">
        <v>2</v>
      </c>
      <c r="AJ281" s="21">
        <f>SUM(AB281:AI281)</f>
        <v>3</v>
      </c>
      <c r="AK281" s="25">
        <f t="shared" si="169"/>
        <v>1</v>
      </c>
      <c r="AL281" s="23">
        <f>AI281/AJ281</f>
        <v>0</v>
      </c>
    </row>
    <row r="282" spans="1:39" ht="28">
      <c r="A282" s="130" t="s">
        <v>135</v>
      </c>
      <c r="B282" s="122">
        <f>B278*F274</f>
        <v>0</v>
      </c>
      <c r="C282" s="122">
        <f>C278*F275</f>
        <v>1107</v>
      </c>
      <c r="D282" s="122">
        <f>D278*F276</f>
        <v>0</v>
      </c>
      <c r="E282" s="122">
        <f>E278*F277</f>
        <v>0</v>
      </c>
      <c r="F282" s="123">
        <f>SUM(B282:E282)</f>
        <v>1107</v>
      </c>
      <c r="G282" s="128"/>
      <c r="H282" s="123"/>
      <c r="I282" s="44"/>
      <c r="J282" s="83"/>
      <c r="K282" s="76"/>
      <c r="L282" s="76"/>
      <c r="M282" s="121"/>
      <c r="O282" s="129" t="s">
        <v>136</v>
      </c>
      <c r="V282" s="4"/>
      <c r="X282" s="50">
        <f>SUM(P274,Q275,R276,S277,T278)/U279</f>
        <v>0.68292682926829273</v>
      </c>
      <c r="AA282" s="33" t="s">
        <v>17</v>
      </c>
      <c r="AB282" s="21">
        <f t="shared" ref="AB282:AH282" si="171">SUM(AB274:AB281)</f>
        <v>0</v>
      </c>
      <c r="AC282" s="21">
        <f t="shared" si="171"/>
        <v>0</v>
      </c>
      <c r="AD282" s="21">
        <f t="shared" si="171"/>
        <v>19</v>
      </c>
      <c r="AE282" s="21">
        <f t="shared" si="171"/>
        <v>22</v>
      </c>
      <c r="AF282" s="21">
        <f t="shared" si="171"/>
        <v>0</v>
      </c>
      <c r="AG282" s="21">
        <f t="shared" si="171"/>
        <v>0</v>
      </c>
      <c r="AH282" s="21">
        <f t="shared" si="171"/>
        <v>0</v>
      </c>
      <c r="AI282" s="21">
        <f>SUM(AI274:AI281)</f>
        <v>0</v>
      </c>
      <c r="AJ282" s="21">
        <f>SUM(AB282:AI282)</f>
        <v>41</v>
      </c>
      <c r="AL282" s="51"/>
    </row>
    <row r="283" spans="1:39" ht="29" thickBot="1">
      <c r="A283" s="131" t="s">
        <v>134</v>
      </c>
      <c r="B283" s="124">
        <f>(B278*$F274)+(B278*$F275)+(B278*$F276)+(B278*$F277)</f>
        <v>0</v>
      </c>
      <c r="C283" s="124">
        <f t="shared" ref="C283:E283" si="172">(C278*$F274)+(C278*$F275)+(C278*$F276)+(C278*$F277)</f>
        <v>1681</v>
      </c>
      <c r="D283" s="124">
        <f t="shared" si="172"/>
        <v>0</v>
      </c>
      <c r="E283" s="124">
        <f t="shared" si="172"/>
        <v>0</v>
      </c>
      <c r="F283" s="125">
        <f>SUM(B283:E283)</f>
        <v>1681</v>
      </c>
      <c r="G283" s="127"/>
      <c r="H283" s="125" t="s">
        <v>32</v>
      </c>
      <c r="I283" s="44"/>
      <c r="J283" s="83"/>
      <c r="K283" s="76"/>
      <c r="L283" s="76"/>
      <c r="M283" s="121"/>
      <c r="O283" s="141" t="s">
        <v>135</v>
      </c>
      <c r="P283" s="122">
        <f>P279*U274</f>
        <v>0</v>
      </c>
      <c r="Q283" s="122">
        <f>Q279*U275</f>
        <v>0</v>
      </c>
      <c r="R283" s="122">
        <f>R279*U276</f>
        <v>1014</v>
      </c>
      <c r="S283" s="122">
        <f>S279*U277</f>
        <v>0</v>
      </c>
      <c r="T283" s="122">
        <f>T279*U278</f>
        <v>6</v>
      </c>
      <c r="U283" s="123">
        <f>SUM(N283:T283)</f>
        <v>1020</v>
      </c>
      <c r="V283" s="128"/>
      <c r="W283" s="123"/>
      <c r="X283" s="44"/>
      <c r="AA283" s="33" t="s">
        <v>35</v>
      </c>
      <c r="AB283" s="53">
        <f>1-AB284</f>
        <v>0</v>
      </c>
      <c r="AC283" s="54">
        <f>1-AC284</f>
        <v>0</v>
      </c>
      <c r="AD283" s="54">
        <f t="shared" ref="AD283:AI283" si="173">1-AD284</f>
        <v>1</v>
      </c>
      <c r="AE283" s="54">
        <f t="shared" si="173"/>
        <v>9.0909090909090939E-2</v>
      </c>
      <c r="AF283" s="54">
        <f t="shared" si="173"/>
        <v>0</v>
      </c>
      <c r="AG283" s="54">
        <f t="shared" si="173"/>
        <v>0</v>
      </c>
      <c r="AH283" s="54">
        <f t="shared" si="173"/>
        <v>0</v>
      </c>
      <c r="AI283" s="54">
        <f t="shared" si="173"/>
        <v>0</v>
      </c>
      <c r="AK283" s="35" t="s">
        <v>32</v>
      </c>
      <c r="AL283" s="36">
        <f>AL288</f>
        <v>-1.8934911242603623E-2</v>
      </c>
    </row>
    <row r="284" spans="1:39" ht="34" thickTop="1" thickBot="1">
      <c r="A284" s="13"/>
      <c r="B284" s="115"/>
      <c r="C284" s="115"/>
      <c r="D284" s="115"/>
      <c r="E284" s="115"/>
      <c r="F284" t="s">
        <v>110</v>
      </c>
      <c r="G284" s="102">
        <f>I281</f>
        <v>0.65853658536585369</v>
      </c>
      <c r="H284" s="104">
        <f>(G284-G285)/(1-G285)</f>
        <v>0</v>
      </c>
      <c r="I284" s="44"/>
      <c r="J284" s="83"/>
      <c r="K284" s="76"/>
      <c r="L284" s="76"/>
      <c r="M284" s="121"/>
      <c r="O284" s="142" t="s">
        <v>134</v>
      </c>
      <c r="P284" s="124">
        <f>(P279*$U274)+(P279*$U275)+(P279*$U276)+(P279*$U277)+(P279*$U278)</f>
        <v>0</v>
      </c>
      <c r="Q284" s="124">
        <f t="shared" ref="Q284:T284" si="174">(Q279*$U274)+(Q279*$U275)+(Q279*$U276)+(Q279*$U277)+(Q279*$U278)</f>
        <v>0</v>
      </c>
      <c r="R284" s="124">
        <f t="shared" si="174"/>
        <v>1599</v>
      </c>
      <c r="S284" s="124">
        <f t="shared" si="174"/>
        <v>0</v>
      </c>
      <c r="T284" s="124">
        <f t="shared" si="174"/>
        <v>82</v>
      </c>
      <c r="U284" s="125">
        <f>SUM(N284:T284)</f>
        <v>1681</v>
      </c>
      <c r="V284" s="127"/>
      <c r="W284" s="125" t="s">
        <v>32</v>
      </c>
      <c r="X284" s="44"/>
      <c r="AA284" s="38" t="s">
        <v>33</v>
      </c>
      <c r="AB284" s="56">
        <v>1</v>
      </c>
      <c r="AC284" s="57">
        <v>1</v>
      </c>
      <c r="AD284" s="57">
        <f>AD276/AD282</f>
        <v>0</v>
      </c>
      <c r="AE284" s="57">
        <f>AE277/AE282</f>
        <v>0.90909090909090906</v>
      </c>
      <c r="AF284" s="57">
        <v>1</v>
      </c>
      <c r="AG284" s="57">
        <v>1</v>
      </c>
      <c r="AH284" s="63">
        <v>1</v>
      </c>
      <c r="AI284" s="63">
        <v>1</v>
      </c>
      <c r="AJ284" s="41"/>
      <c r="AK284" s="42" t="s">
        <v>34</v>
      </c>
      <c r="AL284" s="43">
        <f>AM285</f>
        <v>0.48780487804878048</v>
      </c>
    </row>
    <row r="285" spans="1:39" ht="22" thickTop="1">
      <c r="A285" s="187"/>
      <c r="B285" s="115"/>
      <c r="C285" s="115"/>
      <c r="D285" s="115"/>
      <c r="E285" s="115"/>
      <c r="F285" t="s">
        <v>111</v>
      </c>
      <c r="G285" s="103">
        <f>F282/F283</f>
        <v>0.65853658536585369</v>
      </c>
      <c r="H285" s="101"/>
      <c r="J285" s="83"/>
      <c r="K285" s="76"/>
      <c r="L285" s="76"/>
      <c r="M285" s="121"/>
      <c r="O285" s="13"/>
      <c r="P285" s="115"/>
      <c r="Q285" s="115"/>
      <c r="R285" s="115"/>
      <c r="S285" s="115"/>
      <c r="T285" s="115"/>
      <c r="U285" t="s">
        <v>110</v>
      </c>
      <c r="V285" s="102">
        <f>X282</f>
        <v>0.68292682926829273</v>
      </c>
      <c r="W285" s="104">
        <f>(V285-V286)/(1-V286)</f>
        <v>0.19364599092284435</v>
      </c>
      <c r="X285" s="44"/>
      <c r="AA285" s="129" t="s">
        <v>136</v>
      </c>
      <c r="AK285" s="4"/>
      <c r="AM285" s="50">
        <f>SUM(AB274,AC275,AD276,AE277,AF278,AG279,AH280,AI281)/AJ282</f>
        <v>0.48780487804878048</v>
      </c>
    </row>
    <row r="286" spans="1:39" ht="21">
      <c r="A286" s="24"/>
      <c r="B286" s="100"/>
      <c r="C286" s="100"/>
      <c r="D286" s="100"/>
      <c r="E286" s="100"/>
      <c r="F286" s="111"/>
      <c r="G286" s="132"/>
      <c r="H286" s="101"/>
      <c r="O286" s="187"/>
      <c r="P286" s="115"/>
      <c r="Q286" s="115"/>
      <c r="R286" s="115"/>
      <c r="S286" s="115"/>
      <c r="T286" s="115"/>
      <c r="U286" t="s">
        <v>111</v>
      </c>
      <c r="V286" s="103">
        <f>U283/U284</f>
        <v>0.60678167757287327</v>
      </c>
      <c r="W286" s="101"/>
      <c r="AA286" s="141" t="s">
        <v>135</v>
      </c>
      <c r="AB286" s="122">
        <f>AB282*AJ274</f>
        <v>0</v>
      </c>
      <c r="AC286" s="122">
        <f>AC282*AJ275</f>
        <v>0</v>
      </c>
      <c r="AD286" s="122">
        <f>AD282*AJ276</f>
        <v>0</v>
      </c>
      <c r="AE286" s="122">
        <f>AE282*AJ277</f>
        <v>836</v>
      </c>
      <c r="AF286" s="122">
        <f>AF282*AJ278</f>
        <v>0</v>
      </c>
      <c r="AG286" s="122">
        <f>AG282*AJ279</f>
        <v>0</v>
      </c>
      <c r="AH286" s="122">
        <f>AH282*AJ280</f>
        <v>0</v>
      </c>
      <c r="AI286" s="122">
        <f>AI282*AJ281</f>
        <v>0</v>
      </c>
      <c r="AJ286" s="123">
        <f>SUM(AB286:AI286)</f>
        <v>836</v>
      </c>
      <c r="AK286" s="128"/>
      <c r="AL286" s="123"/>
      <c r="AM286" s="44"/>
    </row>
    <row r="287" spans="1:39" ht="29" thickBot="1">
      <c r="A287" s="24"/>
      <c r="B287" s="24"/>
      <c r="C287" s="24"/>
      <c r="D287" s="24"/>
      <c r="E287" s="24"/>
      <c r="F287" s="24"/>
      <c r="G287" s="24"/>
      <c r="H287" s="24"/>
      <c r="O287" s="24"/>
      <c r="P287" s="100"/>
      <c r="Q287" s="100"/>
      <c r="R287" s="100"/>
      <c r="S287" s="100"/>
      <c r="T287" s="100"/>
      <c r="U287" s="111"/>
      <c r="V287" s="132"/>
      <c r="W287" s="133"/>
      <c r="AA287" s="142" t="s">
        <v>134</v>
      </c>
      <c r="AB287" s="124">
        <f>(AB282*$AJ274)+(AB282*$AJ275)+(AB282*$AJ276)+(AB282*$AJ277)+(AB282*$AJ278)+(AB282*$AJ279)+(AB282*$AJ280)+(AB282*$AJ281)</f>
        <v>0</v>
      </c>
      <c r="AC287" s="124">
        <f t="shared" ref="AC287:AH287" si="175">(AC282*$AJ274)+(AC282*$AJ275)+(AC282*$AJ276)+(AC282*$AJ277)+(AC282*$AJ278)+(AC282*$AJ279)+(AC282*$AJ280)+(AC282*$AJ281)</f>
        <v>0</v>
      </c>
      <c r="AD287" s="124">
        <f t="shared" si="175"/>
        <v>779</v>
      </c>
      <c r="AE287" s="124">
        <f t="shared" si="175"/>
        <v>902</v>
      </c>
      <c r="AF287" s="124">
        <f t="shared" si="175"/>
        <v>0</v>
      </c>
      <c r="AG287" s="124">
        <f t="shared" si="175"/>
        <v>0</v>
      </c>
      <c r="AH287" s="124">
        <f t="shared" si="175"/>
        <v>0</v>
      </c>
      <c r="AI287" s="124">
        <f>(AI282*$AJ274)+(AI282*$AJ275)+(AI282*$AJ276)+(AI282*$AJ277)+(AI282*$AJ278)+(AI282*$AJ279)+(AI282*$AJ280)+(AI282*$AJ281)</f>
        <v>0</v>
      </c>
      <c r="AJ287" s="125">
        <f>SUM(AB287:AI287)</f>
        <v>1681</v>
      </c>
      <c r="AK287" s="127"/>
      <c r="AL287" s="125" t="s">
        <v>32</v>
      </c>
      <c r="AM287" s="44"/>
    </row>
    <row r="288" spans="1:39" ht="22" thickTop="1">
      <c r="A288" s="24"/>
      <c r="B288" s="24"/>
      <c r="C288" s="24"/>
      <c r="D288" s="24"/>
      <c r="E288" s="24"/>
      <c r="F288" s="24"/>
      <c r="G288" s="24"/>
      <c r="H288" s="24"/>
      <c r="O288" s="24"/>
      <c r="P288" s="100"/>
      <c r="Q288" s="100"/>
      <c r="R288" s="100"/>
      <c r="S288" s="100"/>
      <c r="T288" s="100"/>
      <c r="U288" s="111"/>
      <c r="V288" s="132"/>
      <c r="W288" s="101"/>
      <c r="AA288" s="187"/>
      <c r="AB288" s="13"/>
      <c r="AC288" s="115"/>
      <c r="AD288" s="115"/>
      <c r="AE288" s="115"/>
      <c r="AF288" s="115"/>
      <c r="AG288" s="115"/>
      <c r="AJ288" t="s">
        <v>110</v>
      </c>
      <c r="AK288" s="102">
        <f>AM285</f>
        <v>0.48780487804878048</v>
      </c>
      <c r="AL288" s="104">
        <f>(AK288-AK289)/(1-AK289)</f>
        <v>-1.8934911242603623E-2</v>
      </c>
      <c r="AM288" s="44"/>
    </row>
    <row r="289" spans="1:38" ht="21">
      <c r="A289" s="24"/>
      <c r="B289" s="24"/>
      <c r="C289" s="24"/>
      <c r="D289" s="24"/>
      <c r="E289" s="24"/>
      <c r="F289" s="24"/>
      <c r="G289" s="24"/>
      <c r="H289" s="24"/>
      <c r="O289" s="24"/>
      <c r="P289" s="24"/>
      <c r="Q289" s="24"/>
      <c r="R289" s="24"/>
      <c r="S289" s="24"/>
      <c r="T289" s="24"/>
      <c r="U289" s="24"/>
      <c r="V289" s="24"/>
      <c r="AA289" s="59"/>
      <c r="AB289" s="187"/>
      <c r="AC289" s="115"/>
      <c r="AD289" s="115"/>
      <c r="AE289" s="115"/>
      <c r="AF289" s="115"/>
      <c r="AG289" s="115"/>
      <c r="AJ289" t="s">
        <v>111</v>
      </c>
      <c r="AK289" s="103">
        <f>AJ286/AJ287</f>
        <v>0.49732302201070794</v>
      </c>
      <c r="AL289" s="101"/>
    </row>
    <row r="290" spans="1:38" ht="21">
      <c r="A290" s="24"/>
      <c r="B290" s="24"/>
      <c r="C290" s="24"/>
      <c r="D290" s="24"/>
      <c r="E290" s="24"/>
      <c r="F290" s="24"/>
      <c r="G290" s="24"/>
      <c r="H290" s="24"/>
      <c r="O290" s="24"/>
      <c r="P290" s="24"/>
      <c r="Q290" s="24"/>
      <c r="R290" s="24"/>
      <c r="S290" s="24"/>
      <c r="T290" s="24"/>
      <c r="U290" s="24"/>
      <c r="V290" s="24"/>
      <c r="AA290" s="24"/>
      <c r="AB290" s="136"/>
      <c r="AC290" s="136"/>
      <c r="AD290" s="136"/>
      <c r="AE290" s="136"/>
      <c r="AF290" s="136"/>
      <c r="AG290" s="136"/>
      <c r="AH290" s="136"/>
      <c r="AI290" s="136"/>
      <c r="AJ290" s="137"/>
      <c r="AK290" s="138"/>
      <c r="AL290" s="135"/>
    </row>
    <row r="291" spans="1:38">
      <c r="A291" s="24"/>
      <c r="B291" s="24"/>
      <c r="C291" s="24"/>
      <c r="D291" s="24"/>
      <c r="E291" s="24"/>
      <c r="F291" s="24"/>
      <c r="G291" s="24"/>
      <c r="H291" s="24"/>
      <c r="O291" s="24"/>
      <c r="P291" s="24"/>
      <c r="Q291" s="24"/>
      <c r="R291" s="24"/>
      <c r="S291" s="24"/>
      <c r="T291" s="24"/>
      <c r="U291" s="24"/>
      <c r="V291" s="24"/>
      <c r="AA291" s="24"/>
      <c r="AB291" s="24"/>
      <c r="AC291" s="24"/>
      <c r="AD291" s="24"/>
      <c r="AE291" s="24"/>
      <c r="AF291" s="24"/>
      <c r="AG291" s="24"/>
      <c r="AH291" s="24"/>
    </row>
    <row r="292" spans="1:38" ht="17" thickBot="1">
      <c r="A292" s="188" t="s">
        <v>8</v>
      </c>
      <c r="B292" s="188"/>
      <c r="C292" s="188"/>
      <c r="D292" s="188"/>
      <c r="E292" s="188"/>
      <c r="F292" s="188"/>
      <c r="G292" s="188"/>
      <c r="H292" s="188"/>
      <c r="J292" s="189"/>
      <c r="K292" s="189"/>
      <c r="L292" s="189"/>
      <c r="M292" s="118"/>
      <c r="O292" s="188" t="s">
        <v>8</v>
      </c>
      <c r="P292" s="188"/>
      <c r="Q292" s="188"/>
      <c r="R292" s="188"/>
      <c r="S292" s="188"/>
      <c r="T292" s="188"/>
      <c r="U292" s="188"/>
      <c r="V292" s="188"/>
      <c r="W292" s="188"/>
      <c r="X292" s="190"/>
      <c r="AA292" s="188" t="s">
        <v>8</v>
      </c>
      <c r="AB292" s="188"/>
      <c r="AC292" s="188"/>
      <c r="AD292" s="188"/>
      <c r="AE292" s="188"/>
      <c r="AF292" s="188"/>
      <c r="AG292" s="188"/>
      <c r="AH292" s="188"/>
      <c r="AI292" s="188"/>
      <c r="AJ292" s="188"/>
      <c r="AK292" s="188"/>
      <c r="AL292" s="6"/>
    </row>
    <row r="293" spans="1:38" ht="91" thickBot="1">
      <c r="A293" s="65" t="s">
        <v>80</v>
      </c>
      <c r="B293" s="66" t="s">
        <v>10</v>
      </c>
      <c r="C293" s="66" t="s">
        <v>13</v>
      </c>
      <c r="D293" s="66" t="s">
        <v>15</v>
      </c>
      <c r="E293" s="66" t="s">
        <v>16</v>
      </c>
      <c r="F293" s="67" t="s">
        <v>17</v>
      </c>
      <c r="G293" s="67" t="s">
        <v>18</v>
      </c>
      <c r="H293" s="68" t="s">
        <v>19</v>
      </c>
      <c r="J293" s="37"/>
      <c r="K293" s="21"/>
      <c r="L293" s="21"/>
      <c r="M293" s="115"/>
      <c r="O293" s="8" t="s">
        <v>81</v>
      </c>
      <c r="P293" s="9" t="s">
        <v>10</v>
      </c>
      <c r="Q293" s="9" t="s">
        <v>11</v>
      </c>
      <c r="R293" s="9" t="s">
        <v>21</v>
      </c>
      <c r="S293" s="9" t="s">
        <v>22</v>
      </c>
      <c r="T293" s="9" t="s">
        <v>16</v>
      </c>
      <c r="U293" s="10" t="s">
        <v>17</v>
      </c>
      <c r="V293" s="15" t="s">
        <v>18</v>
      </c>
      <c r="W293" s="12" t="s">
        <v>19</v>
      </c>
      <c r="X293" s="16"/>
      <c r="AA293" s="8" t="s">
        <v>82</v>
      </c>
      <c r="AB293" s="17" t="s">
        <v>24</v>
      </c>
      <c r="AC293" s="17" t="s">
        <v>25</v>
      </c>
      <c r="AD293" s="17" t="s">
        <v>26</v>
      </c>
      <c r="AE293" s="17" t="s">
        <v>27</v>
      </c>
      <c r="AF293" s="17" t="s">
        <v>28</v>
      </c>
      <c r="AG293" s="17" t="s">
        <v>29</v>
      </c>
      <c r="AH293" s="17" t="s">
        <v>30</v>
      </c>
      <c r="AI293" s="17" t="s">
        <v>16</v>
      </c>
      <c r="AJ293" s="18" t="s">
        <v>17</v>
      </c>
      <c r="AK293" s="18" t="s">
        <v>18</v>
      </c>
      <c r="AL293" s="19" t="s">
        <v>19</v>
      </c>
    </row>
    <row r="294" spans="1:38" ht="56">
      <c r="A294" s="69" t="s">
        <v>75</v>
      </c>
      <c r="B294" s="70">
        <v>0</v>
      </c>
      <c r="C294" s="70">
        <v>9</v>
      </c>
      <c r="D294" s="70">
        <v>0</v>
      </c>
      <c r="E294" s="70">
        <v>0</v>
      </c>
      <c r="F294" s="14">
        <f>SUM(B294:E294)</f>
        <v>9</v>
      </c>
      <c r="G294" s="71">
        <v>1</v>
      </c>
      <c r="H294" s="72">
        <f>0/11</f>
        <v>0</v>
      </c>
      <c r="J294" s="58"/>
      <c r="K294" s="73"/>
      <c r="L294" s="73"/>
      <c r="M294" s="119"/>
      <c r="O294" s="20" t="s">
        <v>10</v>
      </c>
      <c r="P294" s="13"/>
      <c r="Q294" s="13"/>
      <c r="R294" s="13">
        <v>9</v>
      </c>
      <c r="S294" s="13"/>
      <c r="T294" s="13"/>
      <c r="U294" s="21">
        <f t="shared" ref="U294:U299" si="176">SUM(P294:T294)</f>
        <v>9</v>
      </c>
      <c r="V294" s="25">
        <f>1-W294</f>
        <v>1</v>
      </c>
      <c r="W294" s="23">
        <f>P294/U294</f>
        <v>0</v>
      </c>
      <c r="X294" s="21"/>
      <c r="AA294" s="26" t="s">
        <v>24</v>
      </c>
      <c r="AB294" s="27"/>
      <c r="AC294" s="28"/>
      <c r="AD294" s="28"/>
      <c r="AE294" s="28"/>
      <c r="AF294" s="28"/>
      <c r="AG294" s="28"/>
      <c r="AH294" s="28"/>
      <c r="AJ294" s="29">
        <f t="shared" ref="AJ294:AJ300" si="177">SUM(AB294:AH294)</f>
        <v>0</v>
      </c>
      <c r="AK294" s="30">
        <f>1-AL294</f>
        <v>0</v>
      </c>
      <c r="AL294" s="31">
        <v>1</v>
      </c>
    </row>
    <row r="295" spans="1:38" ht="45">
      <c r="A295" s="69" t="s">
        <v>13</v>
      </c>
      <c r="B295" s="70">
        <v>0</v>
      </c>
      <c r="C295" s="70">
        <v>32</v>
      </c>
      <c r="D295" s="70">
        <v>0</v>
      </c>
      <c r="E295" s="70">
        <v>0</v>
      </c>
      <c r="F295" s="14">
        <f>SUM(B295:E295)</f>
        <v>32</v>
      </c>
      <c r="G295" s="71">
        <v>0</v>
      </c>
      <c r="H295" s="72">
        <v>1</v>
      </c>
      <c r="J295" s="58"/>
      <c r="K295" s="73"/>
      <c r="L295" s="73"/>
      <c r="M295" s="119"/>
      <c r="O295" s="20" t="s">
        <v>11</v>
      </c>
      <c r="P295" s="13"/>
      <c r="Q295" s="13"/>
      <c r="R295" s="13"/>
      <c r="S295" s="13"/>
      <c r="T295" s="13"/>
      <c r="U295" s="21">
        <f t="shared" si="176"/>
        <v>0</v>
      </c>
      <c r="V295" s="25">
        <f t="shared" ref="V295:V298" si="178">1-W295</f>
        <v>0</v>
      </c>
      <c r="W295" s="23">
        <v>1</v>
      </c>
      <c r="X295" s="21"/>
      <c r="AA295" s="32" t="s">
        <v>25</v>
      </c>
      <c r="AB295" s="16"/>
      <c r="AC295" s="13"/>
      <c r="AD295" s="13"/>
      <c r="AE295" s="13"/>
      <c r="AF295" s="13"/>
      <c r="AG295" s="13"/>
      <c r="AH295" s="13"/>
      <c r="AJ295" s="21">
        <f t="shared" si="177"/>
        <v>0</v>
      </c>
      <c r="AK295" s="25">
        <f>1-AL295</f>
        <v>0</v>
      </c>
      <c r="AL295" s="23">
        <v>1</v>
      </c>
    </row>
    <row r="296" spans="1:38" ht="45">
      <c r="A296" s="69" t="s">
        <v>15</v>
      </c>
      <c r="B296" s="70">
        <v>0</v>
      </c>
      <c r="C296" s="70">
        <v>0</v>
      </c>
      <c r="D296" s="70">
        <v>0</v>
      </c>
      <c r="E296" s="70">
        <v>0</v>
      </c>
      <c r="F296" s="14">
        <f>SUM(B296:E296)</f>
        <v>0</v>
      </c>
      <c r="G296" s="71">
        <v>0</v>
      </c>
      <c r="H296" s="72">
        <v>1</v>
      </c>
      <c r="J296" s="58"/>
      <c r="K296" s="73"/>
      <c r="L296" s="73"/>
      <c r="M296" s="119"/>
      <c r="O296" s="20" t="s">
        <v>21</v>
      </c>
      <c r="P296" s="13"/>
      <c r="Q296" s="13"/>
      <c r="R296" s="13">
        <v>30</v>
      </c>
      <c r="S296" s="13"/>
      <c r="T296" s="13">
        <v>2</v>
      </c>
      <c r="U296" s="21">
        <f t="shared" si="176"/>
        <v>32</v>
      </c>
      <c r="V296" s="25">
        <f t="shared" si="178"/>
        <v>6.25E-2</v>
      </c>
      <c r="W296" s="23">
        <f>R296/U296</f>
        <v>0.9375</v>
      </c>
      <c r="X296" s="21"/>
      <c r="AA296" s="32" t="s">
        <v>26</v>
      </c>
      <c r="AB296" s="16"/>
      <c r="AC296" s="13"/>
      <c r="AD296" s="13"/>
      <c r="AE296" s="13"/>
      <c r="AF296" s="13"/>
      <c r="AG296" s="13"/>
      <c r="AH296" s="13"/>
      <c r="AJ296" s="21">
        <f t="shared" si="177"/>
        <v>0</v>
      </c>
      <c r="AK296" s="25">
        <f t="shared" ref="AK296:AK301" si="179">1-AL296</f>
        <v>0</v>
      </c>
      <c r="AL296" s="23">
        <v>1</v>
      </c>
    </row>
    <row r="297" spans="1:38" ht="42">
      <c r="A297" s="69" t="s">
        <v>16</v>
      </c>
      <c r="B297" s="70">
        <v>0</v>
      </c>
      <c r="C297" s="70">
        <v>0</v>
      </c>
      <c r="D297" s="70">
        <v>0</v>
      </c>
      <c r="E297" s="70">
        <v>0</v>
      </c>
      <c r="F297" s="14">
        <f>SUM(B297:E297)</f>
        <v>0</v>
      </c>
      <c r="G297" s="71">
        <v>0</v>
      </c>
      <c r="H297" s="72">
        <v>1</v>
      </c>
      <c r="J297" s="58"/>
      <c r="K297" s="73"/>
      <c r="L297" s="73"/>
      <c r="M297" s="119"/>
      <c r="O297" s="20" t="s">
        <v>22</v>
      </c>
      <c r="P297" s="13"/>
      <c r="Q297" s="13"/>
      <c r="R297" s="13"/>
      <c r="S297" s="13"/>
      <c r="T297" s="13"/>
      <c r="U297" s="21">
        <f t="shared" si="176"/>
        <v>0</v>
      </c>
      <c r="V297" s="25">
        <f t="shared" si="178"/>
        <v>0</v>
      </c>
      <c r="W297" s="23">
        <v>1</v>
      </c>
      <c r="X297" s="21"/>
      <c r="AA297" s="32" t="s">
        <v>27</v>
      </c>
      <c r="AB297" s="16"/>
      <c r="AC297" s="13"/>
      <c r="AD297" s="13">
        <v>19</v>
      </c>
      <c r="AE297" s="13">
        <v>22</v>
      </c>
      <c r="AF297" s="13"/>
      <c r="AG297" s="13"/>
      <c r="AH297" s="13"/>
      <c r="AJ297" s="21">
        <f t="shared" si="177"/>
        <v>41</v>
      </c>
      <c r="AK297" s="25">
        <f t="shared" si="179"/>
        <v>0.46341463414634143</v>
      </c>
      <c r="AL297" s="23">
        <f>AE297/AJ297</f>
        <v>0.53658536585365857</v>
      </c>
    </row>
    <row r="298" spans="1:38" ht="45">
      <c r="A298" s="74" t="s">
        <v>17</v>
      </c>
      <c r="B298" s="14">
        <v>0</v>
      </c>
      <c r="C298" s="14">
        <v>41</v>
      </c>
      <c r="D298" s="14">
        <v>0</v>
      </c>
      <c r="E298" s="14">
        <v>0</v>
      </c>
      <c r="F298" s="14">
        <f>SUM(B298:E298)</f>
        <v>41</v>
      </c>
      <c r="G298" s="14"/>
      <c r="H298" s="75"/>
      <c r="J298" s="46"/>
      <c r="K298" s="73"/>
      <c r="L298" s="73"/>
      <c r="M298" s="119"/>
      <c r="O298" s="20" t="s">
        <v>16</v>
      </c>
      <c r="P298" s="13"/>
      <c r="Q298" s="13"/>
      <c r="R298" s="13"/>
      <c r="S298" s="13"/>
      <c r="T298" s="13"/>
      <c r="U298" s="21">
        <f t="shared" si="176"/>
        <v>0</v>
      </c>
      <c r="V298" s="25">
        <f t="shared" si="178"/>
        <v>0</v>
      </c>
      <c r="W298" s="23">
        <v>1</v>
      </c>
      <c r="X298" s="21"/>
      <c r="AA298" s="32" t="s">
        <v>28</v>
      </c>
      <c r="AB298" s="16"/>
      <c r="AC298" s="13"/>
      <c r="AD298" s="13"/>
      <c r="AE298" s="13"/>
      <c r="AF298" s="13"/>
      <c r="AG298" s="13"/>
      <c r="AH298" s="13"/>
      <c r="AJ298" s="21">
        <f t="shared" si="177"/>
        <v>0</v>
      </c>
      <c r="AK298" s="25">
        <f t="shared" si="179"/>
        <v>0</v>
      </c>
      <c r="AL298" s="23">
        <v>1</v>
      </c>
    </row>
    <row r="299" spans="1:38" ht="30">
      <c r="A299" s="74" t="s">
        <v>35</v>
      </c>
      <c r="B299" s="71">
        <v>0</v>
      </c>
      <c r="C299" s="71">
        <f>1-C300</f>
        <v>0.21951219512195119</v>
      </c>
      <c r="D299" s="71">
        <v>0</v>
      </c>
      <c r="E299" s="71">
        <v>0</v>
      </c>
      <c r="F299" s="77"/>
      <c r="G299" s="46" t="s">
        <v>32</v>
      </c>
      <c r="H299" s="36">
        <f>H304</f>
        <v>0</v>
      </c>
      <c r="J299" s="37"/>
      <c r="K299" s="21"/>
      <c r="L299" s="21"/>
      <c r="M299" s="115"/>
      <c r="O299" s="33" t="s">
        <v>17</v>
      </c>
      <c r="P299" s="21">
        <f>SUM(P294:P298)</f>
        <v>0</v>
      </c>
      <c r="Q299" s="21">
        <f>SUM(Q294:Q298)</f>
        <v>0</v>
      </c>
      <c r="R299" s="21">
        <f>SUM(R294:R298)</f>
        <v>39</v>
      </c>
      <c r="S299" s="21">
        <f>SUM(S294:S298)</f>
        <v>0</v>
      </c>
      <c r="T299" s="21">
        <f>SUM(T294:T298)</f>
        <v>2</v>
      </c>
      <c r="U299" s="21">
        <f t="shared" si="176"/>
        <v>41</v>
      </c>
      <c r="V299" s="21"/>
      <c r="W299" s="34"/>
      <c r="X299" s="21"/>
      <c r="AA299" s="32" t="s">
        <v>29</v>
      </c>
      <c r="AB299" s="16"/>
      <c r="AC299" s="13"/>
      <c r="AD299" s="13"/>
      <c r="AE299" s="13"/>
      <c r="AF299" s="13"/>
      <c r="AG299" s="13"/>
      <c r="AH299" s="13"/>
      <c r="AJ299" s="21">
        <f t="shared" si="177"/>
        <v>0</v>
      </c>
      <c r="AK299" s="25">
        <f t="shared" si="179"/>
        <v>0</v>
      </c>
      <c r="AL299" s="23">
        <v>1</v>
      </c>
    </row>
    <row r="300" spans="1:38" ht="46" thickBot="1">
      <c r="A300" s="78" t="s">
        <v>76</v>
      </c>
      <c r="B300" s="79">
        <v>1</v>
      </c>
      <c r="C300" s="79">
        <f>32/41</f>
        <v>0.78048780487804881</v>
      </c>
      <c r="D300" s="79">
        <v>1</v>
      </c>
      <c r="E300" s="79">
        <v>1</v>
      </c>
      <c r="F300" s="80"/>
      <c r="G300" s="52" t="s">
        <v>34</v>
      </c>
      <c r="H300" s="43">
        <f>I301</f>
        <v>0.78048780487804881</v>
      </c>
      <c r="J300" s="81"/>
      <c r="K300" s="82"/>
      <c r="L300" s="82"/>
      <c r="M300" s="120"/>
      <c r="O300" s="33" t="s">
        <v>31</v>
      </c>
      <c r="P300" s="25">
        <f>1-P301</f>
        <v>0</v>
      </c>
      <c r="Q300" s="25">
        <f t="shared" ref="Q300:T300" si="180">1-Q301</f>
        <v>0</v>
      </c>
      <c r="R300" s="25">
        <f t="shared" si="180"/>
        <v>0.23076923076923073</v>
      </c>
      <c r="S300" s="25">
        <f t="shared" si="180"/>
        <v>0</v>
      </c>
      <c r="T300" s="25">
        <f t="shared" si="180"/>
        <v>1</v>
      </c>
      <c r="U300" s="13"/>
      <c r="V300" s="46" t="s">
        <v>32</v>
      </c>
      <c r="W300" s="36">
        <f>W305</f>
        <v>-4.1570438799076237E-2</v>
      </c>
      <c r="X300" s="21"/>
      <c r="AA300" s="32" t="s">
        <v>30</v>
      </c>
      <c r="AB300" s="16"/>
      <c r="AC300" s="13"/>
      <c r="AD300" s="13"/>
      <c r="AE300" s="13"/>
      <c r="AF300" s="13"/>
      <c r="AG300" s="13"/>
      <c r="AH300" s="13"/>
      <c r="AJ300" s="21">
        <f t="shared" si="177"/>
        <v>0</v>
      </c>
      <c r="AK300" s="25">
        <f t="shared" si="179"/>
        <v>0</v>
      </c>
      <c r="AL300" s="23">
        <v>1</v>
      </c>
    </row>
    <row r="301" spans="1:38" ht="29" thickBot="1">
      <c r="A301" s="129" t="s">
        <v>136</v>
      </c>
      <c r="G301" s="4"/>
      <c r="I301" s="50">
        <f>SUM(B294,C295,D296,E297)/F298</f>
        <v>0.78048780487804881</v>
      </c>
      <c r="J301" s="81"/>
      <c r="K301" s="82"/>
      <c r="L301" s="82"/>
      <c r="M301" s="120"/>
      <c r="O301" s="38" t="s">
        <v>33</v>
      </c>
      <c r="P301" s="39">
        <v>1</v>
      </c>
      <c r="Q301" s="40">
        <v>1</v>
      </c>
      <c r="R301" s="40">
        <f>R296/R299</f>
        <v>0.76923076923076927</v>
      </c>
      <c r="S301" s="40">
        <v>1</v>
      </c>
      <c r="T301" s="39">
        <f>T298/T299</f>
        <v>0</v>
      </c>
      <c r="U301" s="41"/>
      <c r="V301" s="52" t="s">
        <v>34</v>
      </c>
      <c r="W301" s="43">
        <f>X302</f>
        <v>0.73170731707317072</v>
      </c>
      <c r="X301" s="44"/>
      <c r="AA301" s="60" t="s">
        <v>16</v>
      </c>
      <c r="AJ301" s="21">
        <f>SUM(AB301:AI301)</f>
        <v>0</v>
      </c>
      <c r="AK301" s="25">
        <f t="shared" si="179"/>
        <v>0</v>
      </c>
      <c r="AL301" s="23">
        <v>1</v>
      </c>
    </row>
    <row r="302" spans="1:38" ht="28">
      <c r="A302" s="130" t="s">
        <v>135</v>
      </c>
      <c r="B302" s="122">
        <f>B298*F294</f>
        <v>0</v>
      </c>
      <c r="C302" s="122">
        <f>C298*F295</f>
        <v>1312</v>
      </c>
      <c r="D302" s="122">
        <f>D298*F296</f>
        <v>0</v>
      </c>
      <c r="E302" s="122">
        <f>E298*F297</f>
        <v>0</v>
      </c>
      <c r="F302" s="123">
        <f>SUM(B302:E302)</f>
        <v>1312</v>
      </c>
      <c r="G302" s="128"/>
      <c r="H302" s="123"/>
      <c r="I302" s="44"/>
      <c r="J302" s="83"/>
      <c r="K302" s="76"/>
      <c r="L302" s="76"/>
      <c r="M302" s="121"/>
      <c r="O302" s="129" t="s">
        <v>136</v>
      </c>
      <c r="V302" s="4"/>
      <c r="X302" s="50">
        <f>SUM(P294,Q295,R296,S297,T298)/U299</f>
        <v>0.73170731707317072</v>
      </c>
      <c r="AA302" s="33" t="s">
        <v>17</v>
      </c>
      <c r="AB302" s="64">
        <f t="shared" ref="AB302:AH302" si="181">SUM(AB294:AB300)</f>
        <v>0</v>
      </c>
      <c r="AC302" s="21">
        <f t="shared" si="181"/>
        <v>0</v>
      </c>
      <c r="AD302" s="21">
        <f t="shared" si="181"/>
        <v>19</v>
      </c>
      <c r="AE302" s="21">
        <f t="shared" si="181"/>
        <v>22</v>
      </c>
      <c r="AF302" s="21">
        <f t="shared" si="181"/>
        <v>0</v>
      </c>
      <c r="AG302" s="21">
        <f t="shared" si="181"/>
        <v>0</v>
      </c>
      <c r="AH302" s="21">
        <f t="shared" si="181"/>
        <v>0</v>
      </c>
      <c r="AI302" s="21">
        <f>SUM(AI294:AI301)</f>
        <v>0</v>
      </c>
      <c r="AJ302" s="21">
        <f>SUM(AB302:AI302)</f>
        <v>41</v>
      </c>
      <c r="AL302" s="51"/>
    </row>
    <row r="303" spans="1:38" ht="29" thickBot="1">
      <c r="A303" s="131" t="s">
        <v>134</v>
      </c>
      <c r="B303" s="124">
        <f>(B298*$F294)+(B298*$F295)+(B298*$F296)+(B298*$F297)</f>
        <v>0</v>
      </c>
      <c r="C303" s="124">
        <f t="shared" ref="C303:E303" si="182">(C298*$F294)+(C298*$F295)+(C298*$F296)+(C298*$F297)</f>
        <v>1681</v>
      </c>
      <c r="D303" s="124">
        <f t="shared" si="182"/>
        <v>0</v>
      </c>
      <c r="E303" s="124">
        <f t="shared" si="182"/>
        <v>0</v>
      </c>
      <c r="F303" s="125">
        <f>SUM(B303:E303)</f>
        <v>1681</v>
      </c>
      <c r="G303" s="127"/>
      <c r="H303" s="125" t="s">
        <v>32</v>
      </c>
      <c r="I303" s="44"/>
      <c r="J303" s="83"/>
      <c r="K303" s="76"/>
      <c r="L303" s="76"/>
      <c r="M303" s="121"/>
      <c r="O303" s="141" t="s">
        <v>135</v>
      </c>
      <c r="P303" s="122">
        <f>P299*U294</f>
        <v>0</v>
      </c>
      <c r="Q303" s="122">
        <f>Q299*U295</f>
        <v>0</v>
      </c>
      <c r="R303" s="122">
        <f>R299*U296</f>
        <v>1248</v>
      </c>
      <c r="S303" s="122">
        <f>S299*U297</f>
        <v>0</v>
      </c>
      <c r="T303" s="122">
        <f>T299*U298</f>
        <v>0</v>
      </c>
      <c r="U303" s="123">
        <f>SUM(N303:T303)</f>
        <v>1248</v>
      </c>
      <c r="V303" s="128"/>
      <c r="W303" s="123"/>
      <c r="X303" s="44"/>
      <c r="AA303" s="33" t="s">
        <v>35</v>
      </c>
      <c r="AB303" s="53">
        <f>1-AB304</f>
        <v>0</v>
      </c>
      <c r="AC303" s="54">
        <f>1-AC304</f>
        <v>0</v>
      </c>
      <c r="AD303" s="54">
        <f t="shared" ref="AD303:AI303" si="183">1-AD304</f>
        <v>1</v>
      </c>
      <c r="AE303" s="54">
        <f t="shared" si="183"/>
        <v>0</v>
      </c>
      <c r="AF303" s="54">
        <f t="shared" si="183"/>
        <v>0</v>
      </c>
      <c r="AG303" s="54">
        <f t="shared" si="183"/>
        <v>0</v>
      </c>
      <c r="AH303" s="54">
        <f t="shared" si="183"/>
        <v>0</v>
      </c>
      <c r="AI303" s="54">
        <f t="shared" si="183"/>
        <v>0</v>
      </c>
      <c r="AK303" s="35" t="s">
        <v>32</v>
      </c>
      <c r="AL303" s="36">
        <f>AL308</f>
        <v>0</v>
      </c>
    </row>
    <row r="304" spans="1:38" ht="34" thickTop="1" thickBot="1">
      <c r="A304" s="13"/>
      <c r="B304" s="115"/>
      <c r="C304" s="115"/>
      <c r="D304" s="115"/>
      <c r="E304" s="115"/>
      <c r="F304" t="s">
        <v>110</v>
      </c>
      <c r="G304" s="102">
        <f>I301</f>
        <v>0.78048780487804881</v>
      </c>
      <c r="H304" s="104">
        <f>(G304-G305)/(1-G305)</f>
        <v>0</v>
      </c>
      <c r="I304" s="44"/>
      <c r="J304" s="83"/>
      <c r="K304" s="76"/>
      <c r="L304" s="76"/>
      <c r="M304" s="121"/>
      <c r="O304" s="142" t="s">
        <v>134</v>
      </c>
      <c r="P304" s="124">
        <f>(P299*$U294)+(P299*$U295)+(P299*$U296)+(P299*$U297)+(P299*$U298)</f>
        <v>0</v>
      </c>
      <c r="Q304" s="124">
        <f t="shared" ref="Q304:T304" si="184">(Q299*$U294)+(Q299*$U295)+(Q299*$U296)+(Q299*$U297)+(Q299*$U298)</f>
        <v>0</v>
      </c>
      <c r="R304" s="124">
        <f t="shared" si="184"/>
        <v>1599</v>
      </c>
      <c r="S304" s="124">
        <f t="shared" si="184"/>
        <v>0</v>
      </c>
      <c r="T304" s="124">
        <f t="shared" si="184"/>
        <v>82</v>
      </c>
      <c r="U304" s="125">
        <f>SUM(N304:T304)</f>
        <v>1681</v>
      </c>
      <c r="V304" s="127"/>
      <c r="W304" s="125" t="s">
        <v>32</v>
      </c>
      <c r="X304" s="44"/>
      <c r="AA304" s="38" t="s">
        <v>33</v>
      </c>
      <c r="AB304" s="56">
        <v>1</v>
      </c>
      <c r="AC304" s="57">
        <v>1</v>
      </c>
      <c r="AD304" s="57">
        <f>AD296/AD302</f>
        <v>0</v>
      </c>
      <c r="AE304" s="57">
        <f>AE297/AE302</f>
        <v>1</v>
      </c>
      <c r="AF304" s="57">
        <v>1</v>
      </c>
      <c r="AG304" s="57">
        <v>1</v>
      </c>
      <c r="AH304" s="63">
        <v>1</v>
      </c>
      <c r="AI304" s="63">
        <v>1</v>
      </c>
      <c r="AJ304" s="41"/>
      <c r="AK304" s="42" t="s">
        <v>34</v>
      </c>
      <c r="AL304" s="43">
        <f>AM305</f>
        <v>0.53658536585365857</v>
      </c>
    </row>
    <row r="305" spans="1:39" ht="22" thickTop="1">
      <c r="A305" s="187"/>
      <c r="B305" s="115"/>
      <c r="C305" s="115"/>
      <c r="D305" s="115"/>
      <c r="E305" s="115"/>
      <c r="F305" t="s">
        <v>111</v>
      </c>
      <c r="G305" s="103">
        <f>F302/F303</f>
        <v>0.78048780487804881</v>
      </c>
      <c r="H305" s="101"/>
      <c r="J305" s="83"/>
      <c r="K305" s="76"/>
      <c r="L305" s="76"/>
      <c r="M305" s="121"/>
      <c r="O305" s="13"/>
      <c r="P305" s="115"/>
      <c r="Q305" s="115"/>
      <c r="R305" s="115"/>
      <c r="S305" s="115"/>
      <c r="T305" s="115"/>
      <c r="U305" t="s">
        <v>110</v>
      </c>
      <c r="V305" s="102">
        <f>X302</f>
        <v>0.73170731707317072</v>
      </c>
      <c r="W305" s="104">
        <f>(V305-V306)/(1-V306)</f>
        <v>-4.1570438799076237E-2</v>
      </c>
      <c r="X305" s="44"/>
      <c r="AA305" s="129" t="s">
        <v>136</v>
      </c>
      <c r="AK305" s="4"/>
      <c r="AM305" s="50">
        <f>SUM(AB294,AC295,AD296,AE297,AF298,AG299,AH300,AI301)/AJ302</f>
        <v>0.53658536585365857</v>
      </c>
    </row>
    <row r="306" spans="1:39" ht="21">
      <c r="A306" s="24"/>
      <c r="B306" s="100"/>
      <c r="C306" s="100"/>
      <c r="D306" s="100"/>
      <c r="E306" s="100"/>
      <c r="F306" s="111"/>
      <c r="G306" s="132"/>
      <c r="H306" s="101"/>
      <c r="O306" s="187"/>
      <c r="P306" s="115"/>
      <c r="Q306" s="115"/>
      <c r="R306" s="115"/>
      <c r="S306" s="115"/>
      <c r="T306" s="115"/>
      <c r="U306" t="s">
        <v>111</v>
      </c>
      <c r="V306" s="103">
        <f>U303/U304</f>
        <v>0.74241522903033907</v>
      </c>
      <c r="W306" s="101"/>
      <c r="AA306" s="141" t="s">
        <v>135</v>
      </c>
      <c r="AB306" s="122">
        <f>AB302*AJ294</f>
        <v>0</v>
      </c>
      <c r="AC306" s="122">
        <f>AC302*AJ295</f>
        <v>0</v>
      </c>
      <c r="AD306" s="122">
        <f>AD302*AJ296</f>
        <v>0</v>
      </c>
      <c r="AE306" s="122">
        <f>AE302*AJ297</f>
        <v>902</v>
      </c>
      <c r="AF306" s="122">
        <f>AF302*AJ298</f>
        <v>0</v>
      </c>
      <c r="AG306" s="122">
        <f>AG302*AJ299</f>
        <v>0</v>
      </c>
      <c r="AH306" s="122">
        <f>AH302*AJ300</f>
        <v>0</v>
      </c>
      <c r="AI306" s="122">
        <f>AI302*AJ301</f>
        <v>0</v>
      </c>
      <c r="AJ306" s="123">
        <f>SUM(AB306:AI306)</f>
        <v>902</v>
      </c>
      <c r="AK306" s="128"/>
      <c r="AL306" s="123"/>
      <c r="AM306" s="44"/>
    </row>
    <row r="307" spans="1:39" ht="29" thickBot="1">
      <c r="A307" s="24"/>
      <c r="B307" s="24"/>
      <c r="C307" s="24"/>
      <c r="D307" s="24"/>
      <c r="E307" s="24"/>
      <c r="G307" s="24"/>
      <c r="H307" s="24"/>
      <c r="O307" s="24"/>
      <c r="P307" s="100"/>
      <c r="Q307" s="100"/>
      <c r="R307" s="100"/>
      <c r="S307" s="100"/>
      <c r="T307" s="100"/>
      <c r="U307" s="111"/>
      <c r="V307" s="132"/>
      <c r="W307" s="133"/>
      <c r="AA307" s="142" t="s">
        <v>134</v>
      </c>
      <c r="AB307" s="124">
        <f>(AB302*$AJ294)+(AB302*$AJ295)+(AB302*$AJ296)+(AB302*$AJ297)+(AB302*$AJ298)+(AB302*$AJ299)+(AB302*$AJ300)+(AB302*$AJ301)</f>
        <v>0</v>
      </c>
      <c r="AC307" s="124">
        <f t="shared" ref="AC307:AH307" si="185">(AC302*$AJ294)+(AC302*$AJ295)+(AC302*$AJ296)+(AC302*$AJ297)+(AC302*$AJ298)+(AC302*$AJ299)+(AC302*$AJ300)+(AC302*$AJ301)</f>
        <v>0</v>
      </c>
      <c r="AD307" s="124">
        <f t="shared" si="185"/>
        <v>779</v>
      </c>
      <c r="AE307" s="124">
        <f t="shared" si="185"/>
        <v>902</v>
      </c>
      <c r="AF307" s="124">
        <f t="shared" si="185"/>
        <v>0</v>
      </c>
      <c r="AG307" s="124">
        <f t="shared" si="185"/>
        <v>0</v>
      </c>
      <c r="AH307" s="124">
        <f t="shared" si="185"/>
        <v>0</v>
      </c>
      <c r="AI307" s="124">
        <f>(AI302*$AJ294)+(AI302*$AJ295)+(AI302*$AJ296)+(AI302*$AJ297)+(AI302*$AJ298)+(AI302*$AJ299)+(AI302*$AJ300)+(AI302*$AJ301)</f>
        <v>0</v>
      </c>
      <c r="AJ307" s="125">
        <f>SUM(AB307:AI307)</f>
        <v>1681</v>
      </c>
      <c r="AK307" s="127"/>
      <c r="AL307" s="125" t="s">
        <v>32</v>
      </c>
      <c r="AM307" s="44"/>
    </row>
    <row r="308" spans="1:39" ht="22" thickTop="1">
      <c r="A308" s="24"/>
      <c r="B308" s="24"/>
      <c r="C308" s="24"/>
      <c r="D308" s="24"/>
      <c r="E308" s="24"/>
      <c r="F308" s="24"/>
      <c r="G308" s="24"/>
      <c r="H308" s="24"/>
      <c r="O308" s="24"/>
      <c r="P308" s="100"/>
      <c r="Q308" s="100"/>
      <c r="R308" s="100"/>
      <c r="S308" s="100"/>
      <c r="T308" s="100"/>
      <c r="U308" s="111"/>
      <c r="V308" s="132"/>
      <c r="W308" s="101"/>
      <c r="AA308" s="187"/>
      <c r="AB308" s="13"/>
      <c r="AC308" s="115"/>
      <c r="AD308" s="115"/>
      <c r="AE308" s="115"/>
      <c r="AF308" s="115"/>
      <c r="AG308" s="115"/>
      <c r="AJ308" t="s">
        <v>110</v>
      </c>
      <c r="AK308" s="102">
        <f>AM305</f>
        <v>0.53658536585365857</v>
      </c>
      <c r="AL308" s="104">
        <f>(AK308-AK309)/(1-AK309)</f>
        <v>0</v>
      </c>
      <c r="AM308" s="44"/>
    </row>
    <row r="309" spans="1:39" ht="21">
      <c r="A309" s="24"/>
      <c r="B309" s="24"/>
      <c r="C309" s="24"/>
      <c r="D309" s="24"/>
      <c r="E309" s="24"/>
      <c r="F309" s="24"/>
      <c r="G309" s="24"/>
      <c r="H309" s="24"/>
      <c r="O309" s="24"/>
      <c r="P309" s="24"/>
      <c r="Q309" s="24"/>
      <c r="R309" s="24"/>
      <c r="S309" s="24"/>
      <c r="T309" s="24"/>
      <c r="U309" s="24"/>
      <c r="V309" s="24"/>
      <c r="AA309" s="59"/>
      <c r="AB309" s="187"/>
      <c r="AC309" s="115"/>
      <c r="AD309" s="115"/>
      <c r="AE309" s="115"/>
      <c r="AF309" s="115"/>
      <c r="AG309" s="115"/>
      <c r="AJ309" t="s">
        <v>111</v>
      </c>
      <c r="AK309" s="103">
        <f>AJ306/AJ307</f>
        <v>0.53658536585365857</v>
      </c>
      <c r="AL309" s="101"/>
    </row>
    <row r="310" spans="1:39" ht="21">
      <c r="A310" s="24"/>
      <c r="B310" s="24"/>
      <c r="C310" s="24"/>
      <c r="D310" s="24"/>
      <c r="E310" s="24"/>
      <c r="F310" s="24"/>
      <c r="G310" s="24"/>
      <c r="H310" s="24"/>
      <c r="O310" s="24"/>
      <c r="P310" s="24"/>
      <c r="Q310" s="24"/>
      <c r="R310" s="24"/>
      <c r="S310" s="24"/>
      <c r="T310" s="24"/>
      <c r="U310" s="24"/>
      <c r="V310" s="24"/>
      <c r="AA310" s="24"/>
      <c r="AB310" s="136"/>
      <c r="AC310" s="136"/>
      <c r="AD310" s="136"/>
      <c r="AE310" s="136"/>
      <c r="AF310" s="136"/>
      <c r="AG310" s="136"/>
      <c r="AH310" s="136"/>
      <c r="AI310" s="136"/>
      <c r="AJ310" s="137"/>
      <c r="AK310" s="138"/>
      <c r="AL310" s="135"/>
    </row>
    <row r="311" spans="1:39">
      <c r="A311" s="24"/>
      <c r="B311" s="24"/>
      <c r="C311" s="24"/>
      <c r="D311" s="24"/>
      <c r="E311" s="24"/>
      <c r="F311" s="24"/>
      <c r="G311" s="24"/>
      <c r="H311" s="24"/>
      <c r="O311" s="24"/>
      <c r="P311" s="24"/>
      <c r="Q311" s="24"/>
      <c r="R311" s="24"/>
      <c r="S311" s="24"/>
      <c r="T311" s="24"/>
      <c r="U311" s="24"/>
      <c r="V311" s="24"/>
      <c r="AA311" s="24"/>
      <c r="AB311" s="24"/>
      <c r="AC311" s="24"/>
      <c r="AD311" s="24"/>
      <c r="AE311" s="24"/>
      <c r="AF311" s="24"/>
      <c r="AG311" s="24"/>
      <c r="AH311" s="24"/>
    </row>
    <row r="312" spans="1:39" ht="17" thickBot="1">
      <c r="A312" s="188" t="s">
        <v>8</v>
      </c>
      <c r="B312" s="188"/>
      <c r="C312" s="188"/>
      <c r="D312" s="188"/>
      <c r="E312" s="188"/>
      <c r="F312" s="188"/>
      <c r="G312" s="188"/>
      <c r="H312" s="188"/>
      <c r="J312" s="189"/>
      <c r="K312" s="189"/>
      <c r="L312" s="189"/>
      <c r="M312" s="118"/>
      <c r="O312" s="188" t="s">
        <v>8</v>
      </c>
      <c r="P312" s="188"/>
      <c r="Q312" s="188"/>
      <c r="R312" s="188"/>
      <c r="S312" s="188"/>
      <c r="T312" s="188"/>
      <c r="U312" s="188"/>
      <c r="V312" s="188"/>
      <c r="W312" s="188"/>
      <c r="X312" s="190"/>
      <c r="AA312" s="188" t="s">
        <v>8</v>
      </c>
      <c r="AB312" s="188"/>
      <c r="AC312" s="188"/>
      <c r="AD312" s="188"/>
      <c r="AE312" s="188"/>
      <c r="AF312" s="188"/>
      <c r="AG312" s="188"/>
      <c r="AH312" s="188"/>
      <c r="AI312" s="188"/>
      <c r="AJ312" s="188"/>
      <c r="AK312" s="188"/>
      <c r="AL312" s="6"/>
    </row>
    <row r="313" spans="1:39" ht="91" thickBot="1">
      <c r="A313" s="65" t="s">
        <v>83</v>
      </c>
      <c r="B313" s="66" t="s">
        <v>10</v>
      </c>
      <c r="C313" s="66" t="s">
        <v>13</v>
      </c>
      <c r="D313" s="66" t="s">
        <v>15</v>
      </c>
      <c r="E313" s="66" t="s">
        <v>16</v>
      </c>
      <c r="F313" s="67" t="s">
        <v>17</v>
      </c>
      <c r="G313" s="67" t="s">
        <v>18</v>
      </c>
      <c r="H313" s="68" t="s">
        <v>19</v>
      </c>
      <c r="J313" s="37"/>
      <c r="K313" s="21"/>
      <c r="L313" s="21"/>
      <c r="M313" s="115"/>
      <c r="O313" s="8" t="s">
        <v>84</v>
      </c>
      <c r="P313" s="9" t="s">
        <v>10</v>
      </c>
      <c r="Q313" s="9" t="s">
        <v>11</v>
      </c>
      <c r="R313" s="9" t="s">
        <v>21</v>
      </c>
      <c r="S313" s="9" t="s">
        <v>22</v>
      </c>
      <c r="T313" s="9" t="s">
        <v>16</v>
      </c>
      <c r="U313" s="10" t="s">
        <v>17</v>
      </c>
      <c r="V313" s="15" t="s">
        <v>18</v>
      </c>
      <c r="W313" s="12" t="s">
        <v>19</v>
      </c>
      <c r="X313" s="16"/>
      <c r="AA313" s="8" t="s">
        <v>85</v>
      </c>
      <c r="AB313" s="17" t="s">
        <v>24</v>
      </c>
      <c r="AC313" s="17" t="s">
        <v>25</v>
      </c>
      <c r="AD313" s="17" t="s">
        <v>26</v>
      </c>
      <c r="AE313" s="17" t="s">
        <v>27</v>
      </c>
      <c r="AF313" s="17" t="s">
        <v>28</v>
      </c>
      <c r="AG313" s="17" t="s">
        <v>29</v>
      </c>
      <c r="AH313" s="17" t="s">
        <v>30</v>
      </c>
      <c r="AI313" s="17" t="s">
        <v>16</v>
      </c>
      <c r="AJ313" s="18" t="s">
        <v>17</v>
      </c>
      <c r="AK313" s="18" t="s">
        <v>18</v>
      </c>
      <c r="AL313" s="19" t="s">
        <v>19</v>
      </c>
    </row>
    <row r="314" spans="1:39" ht="56">
      <c r="A314" s="69" t="s">
        <v>75</v>
      </c>
      <c r="B314" s="70">
        <v>0</v>
      </c>
      <c r="C314" s="70">
        <v>0</v>
      </c>
      <c r="D314" s="70">
        <v>0</v>
      </c>
      <c r="E314" s="70">
        <v>0</v>
      </c>
      <c r="F314" s="14">
        <f>SUM(B314:E314)</f>
        <v>0</v>
      </c>
      <c r="G314" s="84">
        <v>0</v>
      </c>
      <c r="H314" s="85">
        <v>1</v>
      </c>
      <c r="J314" s="58"/>
      <c r="K314" s="73"/>
      <c r="L314" s="73"/>
      <c r="M314" s="119"/>
      <c r="O314" s="20" t="s">
        <v>10</v>
      </c>
      <c r="P314" s="13"/>
      <c r="Q314" s="13"/>
      <c r="R314" s="13"/>
      <c r="S314" s="13"/>
      <c r="T314" s="13"/>
      <c r="U314" s="21">
        <f t="shared" ref="U314:U319" si="186">SUM(P314:T314)</f>
        <v>0</v>
      </c>
      <c r="V314" s="25">
        <f>1-W314</f>
        <v>0</v>
      </c>
      <c r="W314" s="23">
        <v>1</v>
      </c>
      <c r="X314" s="21"/>
      <c r="AA314" s="26" t="s">
        <v>24</v>
      </c>
      <c r="AB314" s="27"/>
      <c r="AC314" s="28"/>
      <c r="AD314" s="28"/>
      <c r="AE314" s="28"/>
      <c r="AF314" s="28"/>
      <c r="AG314" s="28"/>
      <c r="AH314" s="28"/>
      <c r="AJ314" s="29">
        <f t="shared" ref="AJ314:AJ320" si="187">SUM(AB314:AH314)</f>
        <v>0</v>
      </c>
      <c r="AK314" s="30">
        <f>1-AL314</f>
        <v>0</v>
      </c>
      <c r="AL314" s="31">
        <v>1</v>
      </c>
    </row>
    <row r="315" spans="1:39" ht="45">
      <c r="A315" s="69" t="s">
        <v>13</v>
      </c>
      <c r="B315" s="70">
        <v>0</v>
      </c>
      <c r="C315" s="70">
        <v>41</v>
      </c>
      <c r="D315" s="70">
        <v>0</v>
      </c>
      <c r="E315" s="70">
        <v>0</v>
      </c>
      <c r="F315" s="14">
        <f>SUM(B315:E315)</f>
        <v>41</v>
      </c>
      <c r="G315" s="84">
        <v>0</v>
      </c>
      <c r="H315" s="85">
        <v>1</v>
      </c>
      <c r="J315" s="58"/>
      <c r="K315" s="73"/>
      <c r="L315" s="73"/>
      <c r="M315" s="119"/>
      <c r="O315" s="20" t="s">
        <v>11</v>
      </c>
      <c r="P315" s="13"/>
      <c r="Q315" s="13"/>
      <c r="R315" s="13"/>
      <c r="S315" s="13"/>
      <c r="T315" s="13"/>
      <c r="U315" s="21">
        <f t="shared" si="186"/>
        <v>0</v>
      </c>
      <c r="V315" s="25">
        <f t="shared" ref="V315:V318" si="188">1-W315</f>
        <v>0</v>
      </c>
      <c r="W315" s="23">
        <v>1</v>
      </c>
      <c r="X315" s="21"/>
      <c r="AA315" s="32" t="s">
        <v>25</v>
      </c>
      <c r="AB315" s="16"/>
      <c r="AC315" s="13"/>
      <c r="AD315" s="13"/>
      <c r="AE315" s="13"/>
      <c r="AF315" s="13"/>
      <c r="AG315" s="13"/>
      <c r="AH315" s="13"/>
      <c r="AJ315" s="21">
        <f t="shared" si="187"/>
        <v>0</v>
      </c>
      <c r="AK315" s="25">
        <f>1-AL315</f>
        <v>0</v>
      </c>
      <c r="AL315" s="23">
        <v>1</v>
      </c>
    </row>
    <row r="316" spans="1:39" ht="45">
      <c r="A316" s="69" t="s">
        <v>15</v>
      </c>
      <c r="B316" s="70">
        <v>0</v>
      </c>
      <c r="C316" s="70">
        <v>0</v>
      </c>
      <c r="D316" s="70">
        <v>0</v>
      </c>
      <c r="E316" s="70">
        <v>0</v>
      </c>
      <c r="F316" s="14">
        <f>SUM(B316:E316)</f>
        <v>0</v>
      </c>
      <c r="G316" s="47">
        <v>0</v>
      </c>
      <c r="H316" s="86">
        <v>1</v>
      </c>
      <c r="J316" s="58"/>
      <c r="K316" s="73"/>
      <c r="L316" s="73"/>
      <c r="M316" s="119"/>
      <c r="O316" s="20" t="s">
        <v>21</v>
      </c>
      <c r="P316" s="13"/>
      <c r="Q316" s="13"/>
      <c r="R316" s="13">
        <v>39</v>
      </c>
      <c r="S316" s="13"/>
      <c r="T316" s="13">
        <v>2</v>
      </c>
      <c r="U316" s="21">
        <f t="shared" si="186"/>
        <v>41</v>
      </c>
      <c r="V316" s="25">
        <f t="shared" si="188"/>
        <v>4.8780487804878092E-2</v>
      </c>
      <c r="W316" s="23">
        <f>R316/U316</f>
        <v>0.95121951219512191</v>
      </c>
      <c r="X316" s="21"/>
      <c r="AA316" s="32" t="s">
        <v>26</v>
      </c>
      <c r="AB316" s="16"/>
      <c r="AC316" s="13"/>
      <c r="AF316" s="13"/>
      <c r="AG316" s="13"/>
      <c r="AH316" s="13"/>
      <c r="AJ316" s="21">
        <f t="shared" si="187"/>
        <v>0</v>
      </c>
      <c r="AK316" s="25">
        <f t="shared" ref="AK316:AK321" si="189">1-AL316</f>
        <v>0</v>
      </c>
      <c r="AL316" s="23">
        <v>1</v>
      </c>
    </row>
    <row r="317" spans="1:39" ht="42">
      <c r="A317" s="69" t="s">
        <v>16</v>
      </c>
      <c r="B317" s="70">
        <v>0</v>
      </c>
      <c r="C317" s="70">
        <v>0</v>
      </c>
      <c r="D317" s="70">
        <v>0</v>
      </c>
      <c r="E317" s="70">
        <v>0</v>
      </c>
      <c r="F317" s="14">
        <f>SUM(B317:E317)</f>
        <v>0</v>
      </c>
      <c r="G317" s="47">
        <v>0</v>
      </c>
      <c r="H317" s="86">
        <v>1</v>
      </c>
      <c r="J317" s="58"/>
      <c r="K317" s="73"/>
      <c r="L317" s="73"/>
      <c r="M317" s="119"/>
      <c r="O317" s="20" t="s">
        <v>22</v>
      </c>
      <c r="P317" s="13"/>
      <c r="Q317" s="13"/>
      <c r="R317" s="13"/>
      <c r="S317" s="13"/>
      <c r="T317" s="13"/>
      <c r="U317" s="21">
        <f t="shared" si="186"/>
        <v>0</v>
      </c>
      <c r="V317" s="25">
        <f t="shared" si="188"/>
        <v>0</v>
      </c>
      <c r="W317" s="23">
        <v>1</v>
      </c>
      <c r="X317" s="21"/>
      <c r="AA317" s="32" t="s">
        <v>27</v>
      </c>
      <c r="AB317" s="16"/>
      <c r="AC317" s="13"/>
      <c r="AD317" s="13">
        <v>19</v>
      </c>
      <c r="AE317" s="13">
        <v>22</v>
      </c>
      <c r="AF317" s="13"/>
      <c r="AG317" s="13"/>
      <c r="AH317" s="13"/>
      <c r="AJ317" s="21">
        <f t="shared" si="187"/>
        <v>41</v>
      </c>
      <c r="AK317" s="25">
        <f t="shared" si="189"/>
        <v>0.46341463414634143</v>
      </c>
      <c r="AL317" s="23">
        <f>AE317/AJ317</f>
        <v>0.53658536585365857</v>
      </c>
    </row>
    <row r="318" spans="1:39" ht="45">
      <c r="A318" s="74" t="s">
        <v>17</v>
      </c>
      <c r="B318" s="14">
        <v>0</v>
      </c>
      <c r="C318" s="14">
        <v>41</v>
      </c>
      <c r="D318" s="14">
        <v>0</v>
      </c>
      <c r="E318" s="14">
        <v>0</v>
      </c>
      <c r="F318" s="14">
        <f>SUM(B318:E318)</f>
        <v>41</v>
      </c>
      <c r="G318" s="14"/>
      <c r="H318" s="75"/>
      <c r="J318" s="46"/>
      <c r="K318" s="73"/>
      <c r="L318" s="73"/>
      <c r="M318" s="119"/>
      <c r="O318" s="20" t="s">
        <v>16</v>
      </c>
      <c r="P318" s="13"/>
      <c r="Q318" s="13"/>
      <c r="R318" s="13"/>
      <c r="S318" s="13"/>
      <c r="T318" s="13"/>
      <c r="U318" s="21">
        <f t="shared" si="186"/>
        <v>0</v>
      </c>
      <c r="V318" s="25">
        <f t="shared" si="188"/>
        <v>0</v>
      </c>
      <c r="W318" s="23">
        <v>1</v>
      </c>
      <c r="X318" s="21"/>
      <c r="AA318" s="32" t="s">
        <v>28</v>
      </c>
      <c r="AB318" s="16"/>
      <c r="AC318" s="13"/>
      <c r="AD318" s="13"/>
      <c r="AE318" s="13"/>
      <c r="AF318" s="13"/>
      <c r="AG318" s="13"/>
      <c r="AH318" s="13"/>
      <c r="AJ318" s="21">
        <f t="shared" si="187"/>
        <v>0</v>
      </c>
      <c r="AK318" s="25">
        <f t="shared" si="189"/>
        <v>0</v>
      </c>
      <c r="AL318" s="23">
        <v>1</v>
      </c>
    </row>
    <row r="319" spans="1:39" ht="30">
      <c r="A319" s="74" t="s">
        <v>35</v>
      </c>
      <c r="B319" s="84">
        <v>0</v>
      </c>
      <c r="C319" s="87">
        <v>0</v>
      </c>
      <c r="D319" s="84">
        <v>0</v>
      </c>
      <c r="E319" s="84">
        <v>0</v>
      </c>
      <c r="F319" s="77"/>
      <c r="G319" s="46" t="s">
        <v>32</v>
      </c>
      <c r="H319" s="36">
        <f>H324</f>
        <v>0</v>
      </c>
      <c r="J319" s="37"/>
      <c r="K319" s="21"/>
      <c r="L319" s="21"/>
      <c r="M319" s="115"/>
      <c r="O319" s="33" t="s">
        <v>17</v>
      </c>
      <c r="P319" s="21">
        <f>SUM(P314:P318)</f>
        <v>0</v>
      </c>
      <c r="Q319" s="21">
        <f>SUM(Q314:Q318)</f>
        <v>0</v>
      </c>
      <c r="R319" s="21">
        <f>SUM(R314:R318)</f>
        <v>39</v>
      </c>
      <c r="S319" s="21">
        <f>SUM(S314:S318)</f>
        <v>0</v>
      </c>
      <c r="T319" s="21">
        <f>SUM(T314:T318)</f>
        <v>2</v>
      </c>
      <c r="U319" s="21">
        <f t="shared" si="186"/>
        <v>41</v>
      </c>
      <c r="V319" s="21"/>
      <c r="W319" s="34"/>
      <c r="X319" s="21"/>
      <c r="AA319" s="32" t="s">
        <v>29</v>
      </c>
      <c r="AB319" s="16"/>
      <c r="AC319" s="13"/>
      <c r="AD319" s="13"/>
      <c r="AE319" s="13"/>
      <c r="AF319" s="13"/>
      <c r="AG319" s="13"/>
      <c r="AH319" s="13"/>
      <c r="AJ319" s="21">
        <f t="shared" si="187"/>
        <v>0</v>
      </c>
      <c r="AK319" s="25">
        <f t="shared" si="189"/>
        <v>0</v>
      </c>
      <c r="AL319" s="23">
        <v>1</v>
      </c>
    </row>
    <row r="320" spans="1:39" ht="46" thickBot="1">
      <c r="A320" s="78" t="s">
        <v>76</v>
      </c>
      <c r="B320" s="88">
        <v>1</v>
      </c>
      <c r="C320" s="89">
        <v>1</v>
      </c>
      <c r="D320" s="88">
        <v>1</v>
      </c>
      <c r="E320" s="88">
        <v>1</v>
      </c>
      <c r="F320" s="80"/>
      <c r="G320" s="52" t="s">
        <v>34</v>
      </c>
      <c r="H320" s="43">
        <f>I321</f>
        <v>1</v>
      </c>
      <c r="J320" s="81"/>
      <c r="K320" s="82"/>
      <c r="L320" s="82"/>
      <c r="M320" s="120"/>
      <c r="O320" s="33" t="s">
        <v>31</v>
      </c>
      <c r="P320" s="25">
        <f>1-P321</f>
        <v>0</v>
      </c>
      <c r="Q320" s="25">
        <f t="shared" ref="Q320:T320" si="190">1-Q321</f>
        <v>0</v>
      </c>
      <c r="R320" s="25">
        <f t="shared" si="190"/>
        <v>0</v>
      </c>
      <c r="S320" s="25">
        <f t="shared" si="190"/>
        <v>0</v>
      </c>
      <c r="T320" s="25">
        <f t="shared" si="190"/>
        <v>1</v>
      </c>
      <c r="U320" s="13"/>
      <c r="V320" s="46" t="s">
        <v>32</v>
      </c>
      <c r="W320" s="36">
        <f>W325</f>
        <v>0</v>
      </c>
      <c r="X320" s="21"/>
      <c r="AA320" s="32" t="s">
        <v>30</v>
      </c>
      <c r="AB320" s="16"/>
      <c r="AC320" s="13"/>
      <c r="AD320" s="13"/>
      <c r="AE320" s="13"/>
      <c r="AF320" s="13"/>
      <c r="AG320" s="13"/>
      <c r="AH320" s="13"/>
      <c r="AJ320" s="21">
        <f t="shared" si="187"/>
        <v>0</v>
      </c>
      <c r="AK320" s="25">
        <f t="shared" si="189"/>
        <v>0</v>
      </c>
      <c r="AL320" s="23">
        <v>1</v>
      </c>
    </row>
    <row r="321" spans="1:39" ht="29" thickBot="1">
      <c r="A321" s="129" t="s">
        <v>136</v>
      </c>
      <c r="G321" s="4"/>
      <c r="I321" s="50">
        <f>SUM(B314,C315,D316,E317)/F318</f>
        <v>1</v>
      </c>
      <c r="J321" s="81"/>
      <c r="K321" s="82"/>
      <c r="L321" s="82"/>
      <c r="M321" s="120"/>
      <c r="O321" s="38" t="s">
        <v>33</v>
      </c>
      <c r="P321" s="39">
        <v>1</v>
      </c>
      <c r="Q321" s="40">
        <v>1</v>
      </c>
      <c r="R321" s="40">
        <f>R316/R319</f>
        <v>1</v>
      </c>
      <c r="S321" s="40">
        <v>1</v>
      </c>
      <c r="T321" s="39">
        <f>T318/T319</f>
        <v>0</v>
      </c>
      <c r="U321" s="41"/>
      <c r="V321" s="52" t="s">
        <v>34</v>
      </c>
      <c r="W321" s="43">
        <f>X322</f>
        <v>0.95121951219512191</v>
      </c>
      <c r="X321" s="44"/>
      <c r="AA321" s="60" t="s">
        <v>16</v>
      </c>
      <c r="AJ321" s="21">
        <f>SUM(AB321:AI321)</f>
        <v>0</v>
      </c>
      <c r="AK321" s="25">
        <f t="shared" si="189"/>
        <v>0</v>
      </c>
      <c r="AL321" s="23">
        <v>1</v>
      </c>
    </row>
    <row r="322" spans="1:39" ht="28">
      <c r="A322" s="130" t="s">
        <v>135</v>
      </c>
      <c r="B322" s="122">
        <f>B318*F314</f>
        <v>0</v>
      </c>
      <c r="C322" s="122">
        <f>C318*F315</f>
        <v>1681</v>
      </c>
      <c r="D322" s="122">
        <f>D318*F316</f>
        <v>0</v>
      </c>
      <c r="E322" s="122">
        <f>E318*F317</f>
        <v>0</v>
      </c>
      <c r="F322" s="123">
        <f>SUM(B322:E322)</f>
        <v>1681</v>
      </c>
      <c r="G322" s="128"/>
      <c r="H322" s="123"/>
      <c r="I322" s="44"/>
      <c r="J322" s="83"/>
      <c r="K322" s="76"/>
      <c r="L322" s="76"/>
      <c r="M322" s="121"/>
      <c r="O322" s="129" t="s">
        <v>136</v>
      </c>
      <c r="V322" s="4"/>
      <c r="X322" s="50">
        <f>SUM(P314,Q315,R316,S317,T318)/U319</f>
        <v>0.95121951219512191</v>
      </c>
      <c r="AA322" s="33" t="s">
        <v>17</v>
      </c>
      <c r="AB322" s="64">
        <f t="shared" ref="AB322:AH322" si="191">SUM(AB314:AB320)</f>
        <v>0</v>
      </c>
      <c r="AC322" s="21">
        <f t="shared" si="191"/>
        <v>0</v>
      </c>
      <c r="AD322" s="21">
        <f t="shared" si="191"/>
        <v>19</v>
      </c>
      <c r="AE322" s="21">
        <f t="shared" si="191"/>
        <v>22</v>
      </c>
      <c r="AF322" s="21">
        <f t="shared" si="191"/>
        <v>0</v>
      </c>
      <c r="AG322" s="21">
        <f t="shared" si="191"/>
        <v>0</v>
      </c>
      <c r="AH322" s="21">
        <f t="shared" si="191"/>
        <v>0</v>
      </c>
      <c r="AI322" s="21">
        <f>SUM(AI314:AI321)</f>
        <v>0</v>
      </c>
      <c r="AJ322" s="21">
        <f>SUM(AB322:AI322)</f>
        <v>41</v>
      </c>
      <c r="AL322" s="51"/>
    </row>
    <row r="323" spans="1:39" ht="29" thickBot="1">
      <c r="A323" s="131" t="s">
        <v>134</v>
      </c>
      <c r="B323" s="124">
        <f>(B318*$F314)+(B318*$F315)+(B318*$F316)+(B318*$F317)</f>
        <v>0</v>
      </c>
      <c r="C323" s="124">
        <f t="shared" ref="C323:E323" si="192">(C318*$F314)+(C318*$F315)+(C318*$F316)+(C318*$F317)</f>
        <v>1681</v>
      </c>
      <c r="D323" s="124">
        <f t="shared" si="192"/>
        <v>0</v>
      </c>
      <c r="E323" s="124">
        <f t="shared" si="192"/>
        <v>0</v>
      </c>
      <c r="F323" s="125">
        <f>SUM(B323:E323)</f>
        <v>1681</v>
      </c>
      <c r="G323" s="127"/>
      <c r="H323" s="125" t="s">
        <v>32</v>
      </c>
      <c r="I323" s="44"/>
      <c r="J323" s="83"/>
      <c r="K323" s="76"/>
      <c r="L323" s="76"/>
      <c r="M323" s="121"/>
      <c r="O323" s="141" t="s">
        <v>135</v>
      </c>
      <c r="P323" s="122">
        <f>P319*U314</f>
        <v>0</v>
      </c>
      <c r="Q323" s="122">
        <f>Q319*U315</f>
        <v>0</v>
      </c>
      <c r="R323" s="122">
        <f>R319*U316</f>
        <v>1599</v>
      </c>
      <c r="S323" s="122">
        <f>S319*U317</f>
        <v>0</v>
      </c>
      <c r="T323" s="122">
        <f>T319*U318</f>
        <v>0</v>
      </c>
      <c r="U323" s="123">
        <f>SUM(N323:T323)</f>
        <v>1599</v>
      </c>
      <c r="V323" s="128"/>
      <c r="W323" s="123"/>
      <c r="X323" s="44"/>
      <c r="AA323" s="33" t="s">
        <v>35</v>
      </c>
      <c r="AB323" s="90">
        <f>1-AB324</f>
        <v>0</v>
      </c>
      <c r="AC323" s="55">
        <f>1-AC324</f>
        <v>0</v>
      </c>
      <c r="AD323" s="55">
        <f t="shared" ref="AD323:AI323" si="193">1-AD324</f>
        <v>1</v>
      </c>
      <c r="AE323" s="55">
        <f t="shared" si="193"/>
        <v>0</v>
      </c>
      <c r="AF323" s="55">
        <f t="shared" si="193"/>
        <v>0</v>
      </c>
      <c r="AG323" s="55">
        <f t="shared" si="193"/>
        <v>0</v>
      </c>
      <c r="AH323" s="55">
        <f t="shared" si="193"/>
        <v>0</v>
      </c>
      <c r="AI323" s="55">
        <f t="shared" si="193"/>
        <v>0</v>
      </c>
      <c r="AK323" s="35" t="s">
        <v>32</v>
      </c>
      <c r="AL323" s="36">
        <f>AL328</f>
        <v>0</v>
      </c>
    </row>
    <row r="324" spans="1:39" ht="34" thickTop="1" thickBot="1">
      <c r="A324" s="13"/>
      <c r="B324" s="115"/>
      <c r="C324" s="115"/>
      <c r="D324" s="115"/>
      <c r="E324" s="115"/>
      <c r="F324" t="s">
        <v>110</v>
      </c>
      <c r="G324" s="102">
        <f>I321</f>
        <v>1</v>
      </c>
      <c r="H324" s="104">
        <v>0</v>
      </c>
      <c r="I324" s="44"/>
      <c r="J324" s="83"/>
      <c r="K324" s="76"/>
      <c r="L324" s="76"/>
      <c r="M324" s="121"/>
      <c r="O324" s="142" t="s">
        <v>134</v>
      </c>
      <c r="P324" s="124">
        <f>(P319*$U314)+(P319*$U315)+(P319*$U316)+(P319*$U317)+(P319*$U318)</f>
        <v>0</v>
      </c>
      <c r="Q324" s="124">
        <f t="shared" ref="Q324:T324" si="194">(Q319*$U314)+(Q319*$U315)+(Q319*$U316)+(Q319*$U317)+(Q319*$U318)</f>
        <v>0</v>
      </c>
      <c r="R324" s="124">
        <f t="shared" si="194"/>
        <v>1599</v>
      </c>
      <c r="S324" s="124">
        <f t="shared" si="194"/>
        <v>0</v>
      </c>
      <c r="T324" s="124">
        <f t="shared" si="194"/>
        <v>82</v>
      </c>
      <c r="U324" s="125">
        <f>SUM(N324:T324)</f>
        <v>1681</v>
      </c>
      <c r="V324" s="127"/>
      <c r="W324" s="125" t="s">
        <v>32</v>
      </c>
      <c r="X324" s="44"/>
      <c r="AA324" s="38" t="s">
        <v>33</v>
      </c>
      <c r="AB324" s="91">
        <v>1</v>
      </c>
      <c r="AC324" s="92">
        <v>1</v>
      </c>
      <c r="AD324" s="93">
        <v>0</v>
      </c>
      <c r="AE324" s="93">
        <f>AE317/AE322</f>
        <v>1</v>
      </c>
      <c r="AF324" s="93">
        <v>1</v>
      </c>
      <c r="AG324" s="92">
        <v>1</v>
      </c>
      <c r="AH324" s="94">
        <v>1</v>
      </c>
      <c r="AI324" s="94">
        <v>1</v>
      </c>
      <c r="AJ324" s="41"/>
      <c r="AK324" s="42" t="s">
        <v>34</v>
      </c>
      <c r="AL324" s="43">
        <f>AM325</f>
        <v>0.53658536585365857</v>
      </c>
    </row>
    <row r="325" spans="1:39" ht="22" thickTop="1">
      <c r="A325" s="187"/>
      <c r="B325" s="115"/>
      <c r="C325" s="115"/>
      <c r="D325" s="115"/>
      <c r="E325" s="115"/>
      <c r="F325" t="s">
        <v>111</v>
      </c>
      <c r="G325" s="103">
        <f>F322/F323</f>
        <v>1</v>
      </c>
      <c r="H325" s="101"/>
      <c r="J325" s="83"/>
      <c r="K325" s="76"/>
      <c r="L325" s="76"/>
      <c r="M325" s="121"/>
      <c r="O325" s="13"/>
      <c r="P325" s="115"/>
      <c r="Q325" s="115"/>
      <c r="R325" s="115"/>
      <c r="S325" s="115"/>
      <c r="T325" s="115"/>
      <c r="U325" t="s">
        <v>110</v>
      </c>
      <c r="V325" s="102">
        <f>X322</f>
        <v>0.95121951219512191</v>
      </c>
      <c r="W325" s="104">
        <f>(V325-V326)/(1-V326)</f>
        <v>0</v>
      </c>
      <c r="X325" s="44"/>
      <c r="AA325" s="129" t="s">
        <v>136</v>
      </c>
      <c r="AK325" s="4"/>
      <c r="AM325" s="50">
        <f>SUM(AB314,AC315,AD316,AE317,AF318,AG319,AH320,AI321)/AJ322</f>
        <v>0.53658536585365857</v>
      </c>
    </row>
    <row r="326" spans="1:39" ht="21">
      <c r="B326" s="100"/>
      <c r="C326" s="100"/>
      <c r="D326" s="100"/>
      <c r="E326" s="100"/>
      <c r="F326" s="111"/>
      <c r="G326" s="140"/>
      <c r="H326" s="101"/>
      <c r="O326" s="187"/>
      <c r="P326" s="115"/>
      <c r="Q326" s="115"/>
      <c r="R326" s="115"/>
      <c r="S326" s="115"/>
      <c r="T326" s="115"/>
      <c r="U326" t="s">
        <v>111</v>
      </c>
      <c r="V326" s="103">
        <f>U323/U324</f>
        <v>0.95121951219512191</v>
      </c>
      <c r="W326" s="101"/>
      <c r="AA326" s="141" t="s">
        <v>135</v>
      </c>
      <c r="AB326" s="122">
        <f>AB322*AJ314</f>
        <v>0</v>
      </c>
      <c r="AC326" s="122">
        <f>AC322*AJ315</f>
        <v>0</v>
      </c>
      <c r="AD326" s="122">
        <f>AD322*AJ316</f>
        <v>0</v>
      </c>
      <c r="AE326" s="122">
        <f>AE322*AJ317</f>
        <v>902</v>
      </c>
      <c r="AF326" s="122">
        <f>AF322*AJ318</f>
        <v>0</v>
      </c>
      <c r="AG326" s="122">
        <f>AG322*AJ319</f>
        <v>0</v>
      </c>
      <c r="AH326" s="122">
        <f>AH322*AJ320</f>
        <v>0</v>
      </c>
      <c r="AI326" s="122">
        <f>AI322*AJ321</f>
        <v>0</v>
      </c>
      <c r="AJ326" s="123">
        <f>SUM(AB326:AI326)</f>
        <v>902</v>
      </c>
      <c r="AK326" s="128"/>
      <c r="AL326" s="123"/>
      <c r="AM326" s="44"/>
    </row>
    <row r="327" spans="1:39" ht="29" thickBot="1">
      <c r="P327" s="100"/>
      <c r="Q327" s="100"/>
      <c r="R327" s="100"/>
      <c r="S327" s="100"/>
      <c r="T327" s="100"/>
      <c r="U327" s="111"/>
      <c r="V327" s="132"/>
      <c r="W327" s="133"/>
      <c r="AA327" s="142" t="s">
        <v>134</v>
      </c>
      <c r="AB327" s="124">
        <f>(AB322*$AJ314)+(AB322*$AJ315)+(AB322*$AJ316)+(AB322*$AJ317)+(AB322*$AJ318)+(AB322*$AJ319)+(AB322*$AJ320)+(AB322*$AJ321)</f>
        <v>0</v>
      </c>
      <c r="AC327" s="124">
        <f t="shared" ref="AC327:AH327" si="195">(AC322*$AJ314)+(AC322*$AJ315)+(AC322*$AJ316)+(AC322*$AJ317)+(AC322*$AJ318)+(AC322*$AJ319)+(AC322*$AJ320)+(AC322*$AJ321)</f>
        <v>0</v>
      </c>
      <c r="AD327" s="124">
        <f t="shared" si="195"/>
        <v>779</v>
      </c>
      <c r="AE327" s="124">
        <f t="shared" si="195"/>
        <v>902</v>
      </c>
      <c r="AF327" s="124">
        <f t="shared" si="195"/>
        <v>0</v>
      </c>
      <c r="AG327" s="124">
        <f t="shared" si="195"/>
        <v>0</v>
      </c>
      <c r="AH327" s="124">
        <f t="shared" si="195"/>
        <v>0</v>
      </c>
      <c r="AI327" s="124">
        <f>(AI322*$AJ314)+(AI322*$AJ315)+(AI322*$AJ316)+(AI322*$AJ317)+(AI322*$AJ318)+(AI322*$AJ319)+(AI322*$AJ320)+(AI322*$AJ321)</f>
        <v>0</v>
      </c>
      <c r="AJ327" s="125">
        <f>SUM(AB327:AI327)</f>
        <v>1681</v>
      </c>
      <c r="AK327" s="127"/>
      <c r="AL327" s="125" t="s">
        <v>32</v>
      </c>
      <c r="AM327" s="44"/>
    </row>
    <row r="328" spans="1:39" ht="22" thickTop="1">
      <c r="P328" s="100"/>
      <c r="Q328" s="100"/>
      <c r="R328" s="100"/>
      <c r="S328" s="100"/>
      <c r="T328" s="100"/>
      <c r="U328" s="111"/>
      <c r="V328" s="132"/>
      <c r="W328" s="101"/>
      <c r="AA328" s="187"/>
      <c r="AB328" s="13"/>
      <c r="AC328" s="115"/>
      <c r="AD328" s="115"/>
      <c r="AE328" s="115"/>
      <c r="AF328" s="115"/>
      <c r="AG328" s="115"/>
      <c r="AJ328" t="s">
        <v>110</v>
      </c>
      <c r="AK328" s="102">
        <f>AM325</f>
        <v>0.53658536585365857</v>
      </c>
      <c r="AL328" s="104">
        <f>(AK328-AK329)/(1-AK329)</f>
        <v>0</v>
      </c>
      <c r="AM328" s="44"/>
    </row>
    <row r="329" spans="1:39" ht="21">
      <c r="AA329" s="59"/>
      <c r="AB329" s="187"/>
      <c r="AC329" s="115"/>
      <c r="AD329" s="115"/>
      <c r="AE329" s="115"/>
      <c r="AF329" s="115"/>
      <c r="AG329" s="115"/>
      <c r="AJ329" t="s">
        <v>111</v>
      </c>
      <c r="AK329" s="103">
        <f>AJ326/AJ327</f>
        <v>0.53658536585365857</v>
      </c>
      <c r="AL329" s="101"/>
    </row>
    <row r="330" spans="1:39">
      <c r="AB330" s="143"/>
      <c r="AC330" s="143"/>
      <c r="AD330" s="143"/>
      <c r="AE330" s="143"/>
      <c r="AF330" s="143"/>
      <c r="AG330" s="143"/>
      <c r="AH330" s="143"/>
      <c r="AI330" s="143"/>
      <c r="AJ330" s="144"/>
      <c r="AK330" s="144"/>
      <c r="AL330" s="144"/>
    </row>
    <row r="331" spans="1:39">
      <c r="AB331" s="143"/>
      <c r="AC331" s="143"/>
      <c r="AD331" s="143"/>
      <c r="AE331" s="143"/>
      <c r="AF331" s="143"/>
      <c r="AG331" s="143"/>
      <c r="AH331" s="143"/>
      <c r="AI331" s="143"/>
      <c r="AJ331" s="144"/>
      <c r="AK331" s="144"/>
      <c r="AL331" s="144"/>
    </row>
    <row r="332" spans="1:39">
      <c r="AB332" s="143"/>
      <c r="AC332" s="143"/>
      <c r="AD332" s="143"/>
      <c r="AE332" s="143"/>
      <c r="AF332" s="143"/>
      <c r="AG332" s="143"/>
      <c r="AH332" s="143"/>
      <c r="AI332" s="143"/>
      <c r="AJ332" s="144"/>
      <c r="AK332" s="144"/>
      <c r="AL332" s="144"/>
    </row>
    <row r="333" spans="1:39" ht="21">
      <c r="AB333" s="145"/>
      <c r="AC333" s="145"/>
      <c r="AD333" s="145"/>
      <c r="AE333" s="145"/>
      <c r="AF333" s="145"/>
      <c r="AG333" s="145"/>
      <c r="AH333" s="145"/>
      <c r="AI333" s="145"/>
      <c r="AJ333" s="144"/>
      <c r="AK333" s="146"/>
      <c r="AL333" s="147"/>
    </row>
    <row r="334" spans="1:39" ht="21">
      <c r="AB334" s="145"/>
      <c r="AC334" s="145"/>
      <c r="AD334" s="145"/>
      <c r="AE334" s="145"/>
      <c r="AF334" s="145"/>
      <c r="AG334" s="145"/>
      <c r="AH334" s="145"/>
      <c r="AI334" s="145"/>
      <c r="AJ334" s="144"/>
      <c r="AK334" s="146"/>
      <c r="AL334" s="148"/>
    </row>
  </sheetData>
  <mergeCells count="64">
    <mergeCell ref="A26:K26"/>
    <mergeCell ref="O26:X26"/>
    <mergeCell ref="AA26:AK26"/>
    <mergeCell ref="A4:K4"/>
    <mergeCell ref="O4:X4"/>
    <mergeCell ref="AA4:AK4"/>
    <mergeCell ref="A6:K6"/>
    <mergeCell ref="O6:X6"/>
    <mergeCell ref="AA6:AK6"/>
    <mergeCell ref="A66:K66"/>
    <mergeCell ref="O66:X66"/>
    <mergeCell ref="AA66:AK66"/>
    <mergeCell ref="A46:K46"/>
    <mergeCell ref="O46:X46"/>
    <mergeCell ref="AA46:AK46"/>
    <mergeCell ref="A108:K108"/>
    <mergeCell ref="O108:X108"/>
    <mergeCell ref="AA108:AK108"/>
    <mergeCell ref="A86:K86"/>
    <mergeCell ref="O86:X86"/>
    <mergeCell ref="AA86:AK86"/>
    <mergeCell ref="A88:K88"/>
    <mergeCell ref="O88:X88"/>
    <mergeCell ref="AA88:AK88"/>
    <mergeCell ref="A148:K148"/>
    <mergeCell ref="O148:X148"/>
    <mergeCell ref="AA148:AK148"/>
    <mergeCell ref="A128:K128"/>
    <mergeCell ref="O128:X128"/>
    <mergeCell ref="AA128:AK128"/>
    <mergeCell ref="A190:K190"/>
    <mergeCell ref="O190:X190"/>
    <mergeCell ref="AA190:AK190"/>
    <mergeCell ref="A168:K168"/>
    <mergeCell ref="O168:X168"/>
    <mergeCell ref="AA168:AK168"/>
    <mergeCell ref="A170:K170"/>
    <mergeCell ref="O170:X170"/>
    <mergeCell ref="AA170:AK170"/>
    <mergeCell ref="A230:K230"/>
    <mergeCell ref="O230:X230"/>
    <mergeCell ref="AA230:AK230"/>
    <mergeCell ref="A210:K210"/>
    <mergeCell ref="O210:X210"/>
    <mergeCell ref="AA210:AK210"/>
    <mergeCell ref="A272:H272"/>
    <mergeCell ref="J272:L272"/>
    <mergeCell ref="O272:X272"/>
    <mergeCell ref="AA272:AK272"/>
    <mergeCell ref="A250:H250"/>
    <mergeCell ref="O250:V250"/>
    <mergeCell ref="AA250:AL250"/>
    <mergeCell ref="A252:H252"/>
    <mergeCell ref="J252:L252"/>
    <mergeCell ref="O252:X252"/>
    <mergeCell ref="AA252:AK252"/>
    <mergeCell ref="A312:H312"/>
    <mergeCell ref="J312:L312"/>
    <mergeCell ref="O312:X312"/>
    <mergeCell ref="AA312:AK312"/>
    <mergeCell ref="A292:H292"/>
    <mergeCell ref="J292:L292"/>
    <mergeCell ref="O292:X292"/>
    <mergeCell ref="AA292:AK29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7C786-31C2-DA40-BA4F-0B5B925FF708}">
  <dimension ref="A1:AN139"/>
  <sheetViews>
    <sheetView zoomScaleNormal="100" workbookViewId="0">
      <selection activeCell="A18" sqref="A18:L23"/>
    </sheetView>
  </sheetViews>
  <sheetFormatPr baseColWidth="10" defaultRowHeight="16"/>
  <cols>
    <col min="10" max="10" width="12" customWidth="1"/>
    <col min="11" max="11" width="13.83203125" customWidth="1"/>
    <col min="16" max="16" width="13.1640625" customWidth="1"/>
    <col min="23" max="23" width="11.83203125" customWidth="1"/>
    <col min="24" max="25" width="11.83203125" bestFit="1" customWidth="1"/>
    <col min="28" max="28" width="14.5" customWidth="1"/>
    <col min="29" max="29" width="11.5" bestFit="1" customWidth="1"/>
    <col min="38" max="38" width="11.6640625" customWidth="1"/>
    <col min="39" max="39" width="11.83203125" bestFit="1" customWidth="1"/>
  </cols>
  <sheetData>
    <row r="1" spans="1:40" ht="24">
      <c r="A1" s="1" t="s">
        <v>0</v>
      </c>
      <c r="E1" s="2"/>
      <c r="F1" t="s">
        <v>1</v>
      </c>
      <c r="H1" s="3"/>
      <c r="I1" t="s">
        <v>2</v>
      </c>
      <c r="J1" s="4"/>
      <c r="P1" s="1" t="s">
        <v>3</v>
      </c>
      <c r="T1" s="2"/>
      <c r="U1" t="s">
        <v>1</v>
      </c>
      <c r="W1" s="3"/>
      <c r="X1" t="s">
        <v>2</v>
      </c>
      <c r="Y1" s="4"/>
      <c r="AB1" s="1" t="s">
        <v>112</v>
      </c>
      <c r="AH1" s="2"/>
      <c r="AI1" t="s">
        <v>1</v>
      </c>
      <c r="AK1" s="3"/>
      <c r="AL1" t="s">
        <v>5</v>
      </c>
    </row>
    <row r="2" spans="1:40" ht="24">
      <c r="A2" s="1" t="s">
        <v>6</v>
      </c>
      <c r="J2" s="4"/>
      <c r="P2" s="1" t="s">
        <v>6</v>
      </c>
      <c r="Y2" s="4"/>
      <c r="AB2" s="1" t="s">
        <v>6</v>
      </c>
      <c r="AK2" s="4"/>
    </row>
    <row r="3" spans="1:40" ht="24">
      <c r="A3" s="1"/>
      <c r="J3" s="4"/>
      <c r="P3" s="1"/>
      <c r="Y3" s="4"/>
      <c r="AB3" s="1"/>
      <c r="AK3" s="4"/>
    </row>
    <row r="4" spans="1:40" ht="21">
      <c r="A4" s="191" t="s">
        <v>113</v>
      </c>
      <c r="B4" s="191"/>
      <c r="C4" s="191"/>
      <c r="D4" s="191"/>
      <c r="E4" s="191"/>
      <c r="F4" s="191"/>
      <c r="G4" s="191"/>
      <c r="H4" s="191"/>
      <c r="I4" s="191"/>
      <c r="J4" s="191"/>
      <c r="K4" s="191"/>
      <c r="P4" s="191" t="s">
        <v>114</v>
      </c>
      <c r="Q4" s="191"/>
      <c r="R4" s="191"/>
      <c r="S4" s="191"/>
      <c r="T4" s="191"/>
      <c r="U4" s="191"/>
      <c r="V4" s="191"/>
      <c r="W4" s="191"/>
      <c r="X4" s="191"/>
      <c r="Y4" s="191"/>
      <c r="AB4" s="191" t="s">
        <v>114</v>
      </c>
      <c r="AC4" s="191"/>
      <c r="AD4" s="191"/>
      <c r="AE4" s="191"/>
      <c r="AF4" s="191"/>
      <c r="AG4" s="191"/>
      <c r="AH4" s="191"/>
      <c r="AI4" s="191"/>
      <c r="AJ4" s="191"/>
      <c r="AK4" s="191"/>
      <c r="AL4" s="191"/>
      <c r="AM4" s="5"/>
      <c r="AN4" s="5"/>
    </row>
    <row r="5" spans="1:40" ht="21">
      <c r="A5" s="5"/>
      <c r="B5" s="5"/>
      <c r="C5" s="5"/>
      <c r="D5" s="5"/>
      <c r="E5" s="5"/>
      <c r="F5" s="5"/>
      <c r="G5" s="5"/>
      <c r="H5" s="5"/>
      <c r="I5" s="5"/>
      <c r="J5" s="4"/>
      <c r="K5" s="5"/>
      <c r="P5" s="5"/>
      <c r="Q5" s="5"/>
      <c r="R5" s="5"/>
      <c r="S5" s="5"/>
      <c r="T5" s="5"/>
      <c r="U5" s="5"/>
      <c r="V5" s="5"/>
      <c r="W5" s="5"/>
      <c r="X5" s="5"/>
      <c r="Y5" s="5"/>
      <c r="AB5" s="5"/>
      <c r="AC5" s="5"/>
      <c r="AD5" s="5"/>
      <c r="AE5" s="5"/>
      <c r="AF5" s="5"/>
      <c r="AG5" s="5"/>
      <c r="AH5" s="5"/>
      <c r="AI5" s="5"/>
      <c r="AJ5" s="5"/>
      <c r="AK5" s="5"/>
      <c r="AL5" s="5"/>
      <c r="AM5" s="5"/>
      <c r="AN5" s="5"/>
    </row>
    <row r="6" spans="1:40" ht="17" thickBot="1">
      <c r="A6" s="188" t="s">
        <v>8</v>
      </c>
      <c r="B6" s="188"/>
      <c r="C6" s="188"/>
      <c r="D6" s="188"/>
      <c r="E6" s="188"/>
      <c r="F6" s="188"/>
      <c r="G6" s="188"/>
      <c r="H6" s="188"/>
      <c r="I6" s="188"/>
      <c r="J6" s="188"/>
      <c r="K6" s="188"/>
      <c r="P6" s="188" t="s">
        <v>8</v>
      </c>
      <c r="Q6" s="188"/>
      <c r="R6" s="188"/>
      <c r="S6" s="188"/>
      <c r="T6" s="188"/>
      <c r="U6" s="188"/>
      <c r="V6" s="188"/>
      <c r="W6" s="188"/>
      <c r="X6" s="188"/>
      <c r="Y6" s="190"/>
      <c r="AB6" s="188" t="s">
        <v>8</v>
      </c>
      <c r="AC6" s="188"/>
      <c r="AD6" s="188"/>
      <c r="AE6" s="188"/>
      <c r="AF6" s="188"/>
      <c r="AG6" s="188"/>
      <c r="AH6" s="188"/>
      <c r="AI6" s="188"/>
      <c r="AJ6" s="188"/>
      <c r="AK6" s="188"/>
      <c r="AL6" s="188"/>
      <c r="AM6" s="7"/>
    </row>
    <row r="7" spans="1:40" ht="91" thickBot="1">
      <c r="A7" s="8" t="s">
        <v>9</v>
      </c>
      <c r="B7" s="9" t="s">
        <v>10</v>
      </c>
      <c r="C7" s="9" t="s">
        <v>11</v>
      </c>
      <c r="D7" s="9" t="s">
        <v>12</v>
      </c>
      <c r="E7" s="9" t="s">
        <v>13</v>
      </c>
      <c r="F7" s="9" t="s">
        <v>14</v>
      </c>
      <c r="G7" s="9" t="s">
        <v>15</v>
      </c>
      <c r="H7" s="9" t="s">
        <v>16</v>
      </c>
      <c r="I7" s="10" t="s">
        <v>17</v>
      </c>
      <c r="J7" s="11" t="s">
        <v>18</v>
      </c>
      <c r="K7" s="12" t="s">
        <v>19</v>
      </c>
      <c r="P7" s="8" t="s">
        <v>20</v>
      </c>
      <c r="Q7" s="9" t="s">
        <v>10</v>
      </c>
      <c r="R7" s="9" t="s">
        <v>11</v>
      </c>
      <c r="S7" s="9" t="s">
        <v>21</v>
      </c>
      <c r="T7" s="9" t="s">
        <v>22</v>
      </c>
      <c r="U7" s="9" t="s">
        <v>16</v>
      </c>
      <c r="V7" s="10" t="s">
        <v>17</v>
      </c>
      <c r="W7" s="15" t="s">
        <v>18</v>
      </c>
      <c r="X7" s="12" t="s">
        <v>19</v>
      </c>
      <c r="Y7" s="16"/>
      <c r="AB7" s="8" t="s">
        <v>23</v>
      </c>
      <c r="AC7" s="17" t="s">
        <v>24</v>
      </c>
      <c r="AD7" s="17" t="s">
        <v>25</v>
      </c>
      <c r="AE7" s="17" t="s">
        <v>26</v>
      </c>
      <c r="AF7" s="17" t="s">
        <v>27</v>
      </c>
      <c r="AG7" s="17" t="s">
        <v>28</v>
      </c>
      <c r="AH7" s="17" t="s">
        <v>29</v>
      </c>
      <c r="AI7" s="17" t="s">
        <v>30</v>
      </c>
      <c r="AJ7" s="17" t="s">
        <v>16</v>
      </c>
      <c r="AK7" s="18" t="s">
        <v>17</v>
      </c>
      <c r="AL7" s="18" t="s">
        <v>18</v>
      </c>
      <c r="AM7" s="19" t="s">
        <v>19</v>
      </c>
    </row>
    <row r="8" spans="1:40" ht="56">
      <c r="A8" s="20" t="s">
        <v>10</v>
      </c>
      <c r="B8" s="13"/>
      <c r="C8" s="13"/>
      <c r="D8" s="13"/>
      <c r="E8" s="13"/>
      <c r="F8" s="13"/>
      <c r="G8" s="13">
        <v>1</v>
      </c>
      <c r="H8" s="13"/>
      <c r="I8" s="21">
        <f t="shared" ref="I8:I15" si="0">SUM(B8:H8)</f>
        <v>1</v>
      </c>
      <c r="J8" s="22">
        <f t="shared" ref="J8:J14" si="1">1-K8</f>
        <v>1</v>
      </c>
      <c r="K8" s="23">
        <f t="shared" ref="K8:K12" si="2">H8/I8</f>
        <v>0</v>
      </c>
      <c r="P8" s="20" t="s">
        <v>10</v>
      </c>
      <c r="Q8" s="13"/>
      <c r="R8" s="13"/>
      <c r="S8" s="13"/>
      <c r="T8" s="13">
        <v>1</v>
      </c>
      <c r="U8" s="13"/>
      <c r="V8" s="21">
        <f t="shared" ref="V8:V13" si="3">SUM(Q8:U8)</f>
        <v>1</v>
      </c>
      <c r="W8" s="25">
        <f>1-X8</f>
        <v>1</v>
      </c>
      <c r="X8" s="23">
        <f>Q8/V8</f>
        <v>0</v>
      </c>
      <c r="Y8" s="21"/>
      <c r="AB8" s="26" t="s">
        <v>24</v>
      </c>
      <c r="AC8" s="27">
        <v>4</v>
      </c>
      <c r="AD8" s="28"/>
      <c r="AE8" s="28"/>
      <c r="AF8" s="28"/>
      <c r="AG8" s="28"/>
      <c r="AH8" s="28"/>
      <c r="AI8" s="28"/>
      <c r="AK8" s="29">
        <f t="shared" ref="AK8:AK14" si="4">SUM(AC8:AI8)</f>
        <v>4</v>
      </c>
      <c r="AL8" s="25">
        <f t="shared" ref="AL8:AL15" si="5">1-AM8</f>
        <v>1</v>
      </c>
      <c r="AM8" s="23">
        <f t="shared" ref="AM8:AM11" si="6">AJ8/AK8</f>
        <v>0</v>
      </c>
    </row>
    <row r="9" spans="1:40" ht="45">
      <c r="A9" s="20" t="s">
        <v>11</v>
      </c>
      <c r="B9" s="13"/>
      <c r="C9" s="13"/>
      <c r="D9" s="13"/>
      <c r="E9" s="13">
        <v>1</v>
      </c>
      <c r="F9" s="13"/>
      <c r="G9" s="13">
        <v>13</v>
      </c>
      <c r="H9" s="13"/>
      <c r="I9" s="21">
        <f t="shared" si="0"/>
        <v>14</v>
      </c>
      <c r="J9" s="22">
        <f t="shared" si="1"/>
        <v>1</v>
      </c>
      <c r="K9" s="23">
        <f t="shared" si="2"/>
        <v>0</v>
      </c>
      <c r="P9" s="20" t="s">
        <v>11</v>
      </c>
      <c r="Q9" s="13"/>
      <c r="R9" s="13"/>
      <c r="S9" s="13"/>
      <c r="T9" s="13"/>
      <c r="U9" s="13"/>
      <c r="V9" s="21">
        <f t="shared" si="3"/>
        <v>0</v>
      </c>
      <c r="W9" s="25">
        <f t="shared" ref="W9:W12" si="7">1-X9</f>
        <v>0</v>
      </c>
      <c r="X9" s="23">
        <v>1</v>
      </c>
      <c r="Y9" s="21"/>
      <c r="AB9" s="32" t="s">
        <v>25</v>
      </c>
      <c r="AC9" s="16"/>
      <c r="AD9" s="13">
        <v>6</v>
      </c>
      <c r="AE9" s="13"/>
      <c r="AF9" s="13"/>
      <c r="AG9" s="13"/>
      <c r="AH9" s="13"/>
      <c r="AI9" s="13"/>
      <c r="AK9" s="21">
        <f t="shared" si="4"/>
        <v>6</v>
      </c>
      <c r="AL9" s="25">
        <f t="shared" si="5"/>
        <v>1</v>
      </c>
      <c r="AM9" s="23">
        <f t="shared" si="6"/>
        <v>0</v>
      </c>
    </row>
    <row r="10" spans="1:40" ht="60">
      <c r="A10" s="20" t="s">
        <v>12</v>
      </c>
      <c r="B10" s="13"/>
      <c r="C10" s="13"/>
      <c r="D10" s="13"/>
      <c r="E10" s="13"/>
      <c r="F10" s="13"/>
      <c r="G10" s="13"/>
      <c r="H10" s="13"/>
      <c r="I10" s="21">
        <f t="shared" si="0"/>
        <v>0</v>
      </c>
      <c r="J10" s="22">
        <f t="shared" si="1"/>
        <v>0</v>
      </c>
      <c r="K10" s="23">
        <v>1</v>
      </c>
      <c r="P10" s="20" t="s">
        <v>21</v>
      </c>
      <c r="Q10" s="13"/>
      <c r="R10" s="13"/>
      <c r="S10" s="13">
        <v>2</v>
      </c>
      <c r="T10" s="13">
        <v>50</v>
      </c>
      <c r="U10" s="13"/>
      <c r="V10" s="21">
        <f t="shared" si="3"/>
        <v>52</v>
      </c>
      <c r="W10" s="25">
        <f t="shared" si="7"/>
        <v>0.96153846153846156</v>
      </c>
      <c r="X10" s="23">
        <f>S10/V10</f>
        <v>3.8461538461538464E-2</v>
      </c>
      <c r="Y10" s="21"/>
      <c r="AB10" s="32" t="s">
        <v>26</v>
      </c>
      <c r="AC10" s="16">
        <v>13</v>
      </c>
      <c r="AD10" s="13">
        <v>2</v>
      </c>
      <c r="AE10" s="13"/>
      <c r="AF10" s="13"/>
      <c r="AG10" s="13"/>
      <c r="AH10" s="13"/>
      <c r="AI10" s="13"/>
      <c r="AK10" s="21">
        <f t="shared" si="4"/>
        <v>15</v>
      </c>
      <c r="AL10" s="25">
        <f t="shared" si="5"/>
        <v>1</v>
      </c>
      <c r="AM10" s="23">
        <f t="shared" si="6"/>
        <v>0</v>
      </c>
    </row>
    <row r="11" spans="1:40" ht="45">
      <c r="A11" s="20" t="s">
        <v>13</v>
      </c>
      <c r="B11" s="13"/>
      <c r="C11" s="13"/>
      <c r="D11" s="13"/>
      <c r="E11" s="13">
        <v>1</v>
      </c>
      <c r="F11" s="13"/>
      <c r="G11" s="13">
        <v>37</v>
      </c>
      <c r="H11" s="13"/>
      <c r="I11" s="21">
        <f t="shared" si="0"/>
        <v>38</v>
      </c>
      <c r="J11" s="22">
        <f t="shared" si="1"/>
        <v>1</v>
      </c>
      <c r="K11" s="23">
        <f t="shared" si="2"/>
        <v>0</v>
      </c>
      <c r="P11" s="20" t="s">
        <v>22</v>
      </c>
      <c r="Q11" s="13"/>
      <c r="R11" s="13"/>
      <c r="S11" s="13">
        <v>1</v>
      </c>
      <c r="T11" s="13">
        <v>1</v>
      </c>
      <c r="U11" s="13"/>
      <c r="V11" s="21">
        <f t="shared" si="3"/>
        <v>2</v>
      </c>
      <c r="W11" s="25">
        <f t="shared" si="7"/>
        <v>0.5</v>
      </c>
      <c r="X11" s="23">
        <f>T11/V11</f>
        <v>0.5</v>
      </c>
      <c r="Y11" s="21"/>
      <c r="AB11" s="32" t="s">
        <v>27</v>
      </c>
      <c r="AC11" s="16">
        <v>19</v>
      </c>
      <c r="AD11" s="13">
        <v>3</v>
      </c>
      <c r="AE11" s="13"/>
      <c r="AF11" s="13">
        <v>5</v>
      </c>
      <c r="AG11" s="13"/>
      <c r="AH11" s="13"/>
      <c r="AI11" s="13"/>
      <c r="AK11" s="21">
        <f t="shared" si="4"/>
        <v>27</v>
      </c>
      <c r="AL11" s="25">
        <f t="shared" si="5"/>
        <v>1</v>
      </c>
      <c r="AM11" s="23">
        <f t="shared" si="6"/>
        <v>0</v>
      </c>
    </row>
    <row r="12" spans="1:40" ht="45">
      <c r="A12" s="20" t="s">
        <v>14</v>
      </c>
      <c r="B12" s="13"/>
      <c r="C12" s="13"/>
      <c r="D12" s="13"/>
      <c r="E12" s="13">
        <v>1</v>
      </c>
      <c r="F12" s="13"/>
      <c r="G12" s="13">
        <v>1</v>
      </c>
      <c r="H12" s="13"/>
      <c r="I12" s="21">
        <f t="shared" si="0"/>
        <v>2</v>
      </c>
      <c r="J12" s="22">
        <f t="shared" si="1"/>
        <v>1</v>
      </c>
      <c r="K12" s="23">
        <f t="shared" si="2"/>
        <v>0</v>
      </c>
      <c r="P12" s="20" t="s">
        <v>16</v>
      </c>
      <c r="Q12" s="13"/>
      <c r="R12" s="13"/>
      <c r="S12" s="13"/>
      <c r="T12" s="13"/>
      <c r="U12" s="13"/>
      <c r="V12" s="21">
        <f t="shared" si="3"/>
        <v>0</v>
      </c>
      <c r="W12" s="25">
        <f t="shared" si="7"/>
        <v>0</v>
      </c>
      <c r="X12" s="23">
        <v>1</v>
      </c>
      <c r="Y12" s="21"/>
      <c r="AB12" s="32" t="s">
        <v>28</v>
      </c>
      <c r="AC12" s="16"/>
      <c r="AD12" s="13"/>
      <c r="AE12" s="13"/>
      <c r="AF12" s="13"/>
      <c r="AG12" s="13"/>
      <c r="AH12" s="13"/>
      <c r="AI12" s="13"/>
      <c r="AK12" s="21">
        <f t="shared" si="4"/>
        <v>0</v>
      </c>
      <c r="AL12" s="25">
        <f t="shared" si="5"/>
        <v>0</v>
      </c>
      <c r="AM12" s="23">
        <v>1</v>
      </c>
    </row>
    <row r="13" spans="1:40" ht="45">
      <c r="A13" s="20" t="s">
        <v>15</v>
      </c>
      <c r="B13" s="13"/>
      <c r="C13" s="13"/>
      <c r="D13" s="13"/>
      <c r="E13" s="13"/>
      <c r="F13" s="13"/>
      <c r="G13" s="13"/>
      <c r="H13" s="13"/>
      <c r="I13" s="21">
        <f t="shared" si="0"/>
        <v>0</v>
      </c>
      <c r="J13" s="22">
        <f t="shared" si="1"/>
        <v>0</v>
      </c>
      <c r="K13" s="23">
        <v>1</v>
      </c>
      <c r="P13" s="33" t="s">
        <v>17</v>
      </c>
      <c r="Q13" s="21">
        <f>SUM(Q8:Q12)</f>
        <v>0</v>
      </c>
      <c r="R13" s="21">
        <f>SUM(R8:R12)</f>
        <v>0</v>
      </c>
      <c r="S13" s="21">
        <f>SUM(S8:S12)</f>
        <v>3</v>
      </c>
      <c r="T13" s="21">
        <f>SUM(T8:T12)</f>
        <v>52</v>
      </c>
      <c r="U13" s="21">
        <f>SUM(U8:U12)</f>
        <v>0</v>
      </c>
      <c r="V13" s="21">
        <f t="shared" si="3"/>
        <v>55</v>
      </c>
      <c r="W13" s="21"/>
      <c r="X13" s="34"/>
      <c r="Y13" s="21"/>
      <c r="AB13" s="32" t="s">
        <v>29</v>
      </c>
      <c r="AC13" s="16"/>
      <c r="AD13" s="13"/>
      <c r="AE13" s="13"/>
      <c r="AF13" s="13"/>
      <c r="AG13" s="13"/>
      <c r="AH13" s="13"/>
      <c r="AI13" s="13"/>
      <c r="AK13" s="21">
        <f t="shared" si="4"/>
        <v>0</v>
      </c>
      <c r="AL13" s="25">
        <f t="shared" si="5"/>
        <v>0</v>
      </c>
      <c r="AM13" s="23">
        <v>1</v>
      </c>
    </row>
    <row r="14" spans="1:40" ht="45">
      <c r="A14" s="20" t="s">
        <v>16</v>
      </c>
      <c r="B14" s="13"/>
      <c r="C14" s="13"/>
      <c r="D14" s="13"/>
      <c r="E14" s="13"/>
      <c r="F14" s="13"/>
      <c r="G14" s="13"/>
      <c r="H14" s="13"/>
      <c r="I14" s="21">
        <f t="shared" si="0"/>
        <v>0</v>
      </c>
      <c r="J14" s="22">
        <f t="shared" si="1"/>
        <v>0</v>
      </c>
      <c r="K14" s="23">
        <v>1</v>
      </c>
      <c r="P14" s="33" t="s">
        <v>31</v>
      </c>
      <c r="Q14" s="25">
        <f>1-Q15</f>
        <v>0</v>
      </c>
      <c r="R14" s="25">
        <f t="shared" ref="R14:U14" si="8">1-R15</f>
        <v>0</v>
      </c>
      <c r="S14" s="25">
        <f t="shared" si="8"/>
        <v>0.33333333333333337</v>
      </c>
      <c r="T14" s="25">
        <f t="shared" si="8"/>
        <v>0.98076923076923073</v>
      </c>
      <c r="U14" s="25">
        <f t="shared" si="8"/>
        <v>0</v>
      </c>
      <c r="V14" s="13"/>
      <c r="W14" s="35" t="s">
        <v>32</v>
      </c>
      <c r="X14" s="36">
        <f>X19</f>
        <v>-3.4358047016274866E-2</v>
      </c>
      <c r="Y14" s="21"/>
      <c r="AB14" s="32" t="s">
        <v>30</v>
      </c>
      <c r="AC14" s="16"/>
      <c r="AD14" s="13"/>
      <c r="AE14" s="13"/>
      <c r="AF14" s="13"/>
      <c r="AG14" s="13"/>
      <c r="AH14" s="13"/>
      <c r="AI14" s="13"/>
      <c r="AK14" s="21">
        <f t="shared" si="4"/>
        <v>0</v>
      </c>
      <c r="AL14" s="25">
        <f t="shared" si="5"/>
        <v>0</v>
      </c>
      <c r="AM14" s="23">
        <v>1</v>
      </c>
    </row>
    <row r="15" spans="1:40" ht="33" thickBot="1">
      <c r="A15" s="33" t="s">
        <v>17</v>
      </c>
      <c r="B15" s="21">
        <f t="shared" ref="B15:H15" si="9">SUM(B8:B14)</f>
        <v>0</v>
      </c>
      <c r="C15" s="21">
        <f t="shared" si="9"/>
        <v>0</v>
      </c>
      <c r="D15" s="21">
        <f t="shared" si="9"/>
        <v>0</v>
      </c>
      <c r="E15" s="21">
        <f t="shared" si="9"/>
        <v>3</v>
      </c>
      <c r="F15" s="21">
        <f t="shared" si="9"/>
        <v>0</v>
      </c>
      <c r="G15" s="21">
        <f t="shared" si="9"/>
        <v>52</v>
      </c>
      <c r="H15" s="21">
        <f t="shared" si="9"/>
        <v>0</v>
      </c>
      <c r="I15" s="21">
        <f t="shared" si="0"/>
        <v>55</v>
      </c>
      <c r="J15" s="37"/>
      <c r="K15" s="34"/>
      <c r="P15" s="38" t="s">
        <v>33</v>
      </c>
      <c r="Q15" s="40">
        <v>1</v>
      </c>
      <c r="R15" s="40">
        <v>1</v>
      </c>
      <c r="S15" s="40">
        <f>S10/S13</f>
        <v>0.66666666666666663</v>
      </c>
      <c r="T15" s="40">
        <f>T11/T13</f>
        <v>1.9230769230769232E-2</v>
      </c>
      <c r="U15" s="40">
        <v>1</v>
      </c>
      <c r="V15" s="41"/>
      <c r="W15" s="42" t="s">
        <v>34</v>
      </c>
      <c r="X15" s="43">
        <f>Y16</f>
        <v>5.4545454545454543E-2</v>
      </c>
      <c r="Y15" s="44"/>
      <c r="AB15" s="60" t="s">
        <v>16</v>
      </c>
      <c r="AC15" s="16">
        <v>3</v>
      </c>
      <c r="AK15" s="21">
        <f>SUM(AC15:AJ15)</f>
        <v>3</v>
      </c>
      <c r="AL15" s="25">
        <f t="shared" si="5"/>
        <v>1</v>
      </c>
      <c r="AM15" s="23">
        <f>AJ15/AK15</f>
        <v>0</v>
      </c>
    </row>
    <row r="16" spans="1:40" ht="28">
      <c r="A16" s="33" t="s">
        <v>31</v>
      </c>
      <c r="B16" s="25">
        <f t="shared" ref="B16:H16" si="10">1-B17</f>
        <v>0</v>
      </c>
      <c r="C16" s="25">
        <f t="shared" si="10"/>
        <v>0</v>
      </c>
      <c r="D16" s="25">
        <f t="shared" si="10"/>
        <v>0</v>
      </c>
      <c r="E16" s="25">
        <f t="shared" si="10"/>
        <v>0.66666666666666674</v>
      </c>
      <c r="F16" s="25">
        <f t="shared" si="10"/>
        <v>0</v>
      </c>
      <c r="G16" s="25">
        <f t="shared" si="10"/>
        <v>1</v>
      </c>
      <c r="H16" s="25">
        <f t="shared" si="10"/>
        <v>0</v>
      </c>
      <c r="I16" s="13"/>
      <c r="J16" s="35" t="s">
        <v>32</v>
      </c>
      <c r="K16" s="36">
        <f>K21</f>
        <v>-2.0267949158364822E-2</v>
      </c>
      <c r="P16" s="129" t="s">
        <v>136</v>
      </c>
      <c r="W16" s="4"/>
      <c r="Y16" s="50">
        <f>SUM(Q8,R9,S10,T11,U12)/V13</f>
        <v>5.4545454545454543E-2</v>
      </c>
      <c r="AB16" s="33" t="s">
        <v>17</v>
      </c>
      <c r="AC16" s="21">
        <f t="shared" ref="AC16:AI16" si="11">SUM(AC8:AC15)</f>
        <v>39</v>
      </c>
      <c r="AD16" s="21">
        <f t="shared" si="11"/>
        <v>11</v>
      </c>
      <c r="AE16" s="21">
        <f t="shared" si="11"/>
        <v>0</v>
      </c>
      <c r="AF16" s="21">
        <f t="shared" si="11"/>
        <v>5</v>
      </c>
      <c r="AG16" s="21">
        <f t="shared" si="11"/>
        <v>0</v>
      </c>
      <c r="AH16" s="21">
        <f t="shared" si="11"/>
        <v>0</v>
      </c>
      <c r="AI16" s="21">
        <f t="shared" si="11"/>
        <v>0</v>
      </c>
      <c r="AJ16" s="21">
        <f>SUM(AJ8:AJ15)</f>
        <v>0</v>
      </c>
      <c r="AK16" s="21">
        <f>SUM(AC16:AJ16)</f>
        <v>55</v>
      </c>
      <c r="AM16" s="51"/>
    </row>
    <row r="17" spans="1:40" ht="33" thickBot="1">
      <c r="A17" s="38" t="s">
        <v>33</v>
      </c>
      <c r="B17" s="40">
        <v>1</v>
      </c>
      <c r="C17" s="40">
        <v>1</v>
      </c>
      <c r="D17" s="40">
        <v>1</v>
      </c>
      <c r="E17" s="40">
        <f>E11/E15</f>
        <v>0.33333333333333331</v>
      </c>
      <c r="F17" s="40">
        <v>1</v>
      </c>
      <c r="G17" s="40">
        <f>G13/G15</f>
        <v>0</v>
      </c>
      <c r="H17" s="39">
        <v>1</v>
      </c>
      <c r="I17" s="41"/>
      <c r="J17" s="42" t="s">
        <v>34</v>
      </c>
      <c r="K17" s="43">
        <f>L18</f>
        <v>1.8181818181818181E-2</v>
      </c>
      <c r="P17" s="141" t="s">
        <v>135</v>
      </c>
      <c r="Q17" s="122">
        <f>Q13*V8</f>
        <v>0</v>
      </c>
      <c r="R17" s="122">
        <f>R13*V9</f>
        <v>0</v>
      </c>
      <c r="S17" s="122">
        <f>S13*V10</f>
        <v>156</v>
      </c>
      <c r="T17" s="122">
        <f>T13*V11</f>
        <v>104</v>
      </c>
      <c r="U17" s="122">
        <f>U13*V12</f>
        <v>0</v>
      </c>
      <c r="V17" s="123">
        <f>SUM(Q17:U17)</f>
        <v>260</v>
      </c>
      <c r="W17" s="128"/>
      <c r="X17" s="123"/>
      <c r="Y17" s="44"/>
      <c r="AB17" s="33" t="s">
        <v>35</v>
      </c>
      <c r="AC17" s="53">
        <f>1-AC18</f>
        <v>0.89743589743589747</v>
      </c>
      <c r="AD17" s="54">
        <f>1-AD18</f>
        <v>0.45454545454545459</v>
      </c>
      <c r="AE17" s="54">
        <f t="shared" ref="AE17:AJ17" si="12">1-AE18</f>
        <v>0</v>
      </c>
      <c r="AF17" s="54">
        <f t="shared" si="12"/>
        <v>0</v>
      </c>
      <c r="AG17" s="54">
        <f t="shared" si="12"/>
        <v>0</v>
      </c>
      <c r="AH17" s="54">
        <f t="shared" si="12"/>
        <v>0</v>
      </c>
      <c r="AI17" s="54">
        <f t="shared" si="12"/>
        <v>0</v>
      </c>
      <c r="AJ17" s="54">
        <f t="shared" si="12"/>
        <v>0</v>
      </c>
      <c r="AL17" s="35" t="s">
        <v>32</v>
      </c>
      <c r="AM17" s="36">
        <f>AM22</f>
        <v>0.17541229385307344</v>
      </c>
    </row>
    <row r="18" spans="1:40" ht="33" thickBot="1">
      <c r="A18" s="129" t="s">
        <v>136</v>
      </c>
      <c r="J18" s="4"/>
      <c r="L18" s="50">
        <f>SUM(B8,C9,D10,E11,F12,G13,H14)/I15</f>
        <v>1.8181818181818181E-2</v>
      </c>
      <c r="P18" s="142" t="s">
        <v>134</v>
      </c>
      <c r="Q18" s="124">
        <f>(Q13*$V8)+(Q13*$V9)+(Q13*$V10)+(Q13*$V11)+(Q13*$V12)</f>
        <v>0</v>
      </c>
      <c r="R18" s="124">
        <f t="shared" ref="R18:U18" si="13">(R13*$V8)+(R13*$V9)+(R13*$V10)+(R13*$V11)+(R13*$V12)</f>
        <v>0</v>
      </c>
      <c r="S18" s="124">
        <f t="shared" si="13"/>
        <v>165</v>
      </c>
      <c r="T18" s="124">
        <f t="shared" si="13"/>
        <v>2860</v>
      </c>
      <c r="U18" s="124">
        <f t="shared" si="13"/>
        <v>0</v>
      </c>
      <c r="V18" s="125">
        <f>SUM(Q18:U18)</f>
        <v>3025</v>
      </c>
      <c r="W18" s="127"/>
      <c r="X18" s="125" t="s">
        <v>32</v>
      </c>
      <c r="Y18" s="44"/>
      <c r="AB18" s="38" t="s">
        <v>33</v>
      </c>
      <c r="AC18" s="56">
        <f>AC8/AC16</f>
        <v>0.10256410256410256</v>
      </c>
      <c r="AD18" s="57">
        <f>AD9/AD16</f>
        <v>0.54545454545454541</v>
      </c>
      <c r="AE18" s="57">
        <v>1</v>
      </c>
      <c r="AF18" s="57">
        <f>AF11/AF16</f>
        <v>1</v>
      </c>
      <c r="AG18" s="57">
        <v>1</v>
      </c>
      <c r="AH18" s="57">
        <v>1</v>
      </c>
      <c r="AI18" s="57">
        <v>1</v>
      </c>
      <c r="AJ18" s="57">
        <v>1</v>
      </c>
      <c r="AK18" s="41"/>
      <c r="AL18" s="42" t="s">
        <v>34</v>
      </c>
      <c r="AM18" s="43">
        <f>AN19</f>
        <v>0.27272727272727271</v>
      </c>
    </row>
    <row r="19" spans="1:40" ht="29" thickTop="1">
      <c r="A19" s="130" t="s">
        <v>135</v>
      </c>
      <c r="B19" s="122">
        <f>B15*I8</f>
        <v>0</v>
      </c>
      <c r="C19" s="122">
        <f>C15*I9</f>
        <v>0</v>
      </c>
      <c r="D19" s="122">
        <f>D15*I10</f>
        <v>0</v>
      </c>
      <c r="E19" s="122">
        <f>E15*I11</f>
        <v>114</v>
      </c>
      <c r="F19" s="122">
        <f>F15*I12</f>
        <v>0</v>
      </c>
      <c r="G19" s="122">
        <f>G15*I13</f>
        <v>0</v>
      </c>
      <c r="H19" s="122">
        <f>H15*I14</f>
        <v>0</v>
      </c>
      <c r="I19" s="123">
        <f>SUM(B19:H19)</f>
        <v>114</v>
      </c>
      <c r="J19" s="128"/>
      <c r="K19" s="123"/>
      <c r="L19" s="44"/>
      <c r="P19" s="13"/>
      <c r="Q19" s="115"/>
      <c r="R19" s="115"/>
      <c r="S19" s="115"/>
      <c r="T19" s="115"/>
      <c r="U19" s="115"/>
      <c r="V19" t="s">
        <v>110</v>
      </c>
      <c r="W19" s="102">
        <f>Y16</f>
        <v>5.4545454545454543E-2</v>
      </c>
      <c r="X19" s="104">
        <f>(W19-W20)/(1-W20)</f>
        <v>-3.4358047016274866E-2</v>
      </c>
      <c r="Y19" s="44"/>
      <c r="AB19" s="129" t="s">
        <v>136</v>
      </c>
      <c r="AL19" s="4"/>
      <c r="AN19" s="50">
        <f>SUM(AC8,AD9,AE10,AF11,AG12,AH13,AI14,AJ15)/AK16</f>
        <v>0.27272727272727271</v>
      </c>
    </row>
    <row r="20" spans="1:40" ht="43" thickBot="1">
      <c r="A20" s="131" t="s">
        <v>134</v>
      </c>
      <c r="B20" s="124">
        <f>(B15*$I8)+(B15*$I9)+(B15*$I10)+(B15*$I11)+(B15*$I12)+(B15*$I13)+(B15*$I14)</f>
        <v>0</v>
      </c>
      <c r="C20" s="124">
        <f t="shared" ref="C20:I20" si="14">(C15*$I8)+(C15*$I9)+(C15*$I10)+(C15*$I11)+(C15*$I12)+(C15*$I13)+(C15*$I14)</f>
        <v>0</v>
      </c>
      <c r="D20" s="124">
        <f t="shared" si="14"/>
        <v>0</v>
      </c>
      <c r="E20" s="124">
        <f t="shared" si="14"/>
        <v>165</v>
      </c>
      <c r="F20" s="124">
        <f t="shared" si="14"/>
        <v>0</v>
      </c>
      <c r="G20" s="124">
        <f t="shared" si="14"/>
        <v>2860</v>
      </c>
      <c r="H20" s="124">
        <f>(H15*$I8)+(H15*$I9)+(H15*$I10)+(H15*$I11)+(H15*$I12)+(H15*$I13)+(H15*$I14)</f>
        <v>0</v>
      </c>
      <c r="I20" s="125">
        <f>SUM(B20:H20)</f>
        <v>3025</v>
      </c>
      <c r="J20" s="127"/>
      <c r="K20" s="125" t="s">
        <v>32</v>
      </c>
      <c r="L20" s="44"/>
      <c r="P20" s="95"/>
      <c r="Q20" s="115"/>
      <c r="R20" s="115"/>
      <c r="S20" s="115"/>
      <c r="T20" s="115"/>
      <c r="U20" s="115"/>
      <c r="V20" t="s">
        <v>111</v>
      </c>
      <c r="W20" s="103">
        <f>V17/V18</f>
        <v>8.5950413223140495E-2</v>
      </c>
      <c r="X20" s="101"/>
      <c r="AB20" s="141" t="s">
        <v>135</v>
      </c>
      <c r="AC20" s="122">
        <f>AC16*AK8</f>
        <v>156</v>
      </c>
      <c r="AD20" s="122">
        <f>AD16*AK9</f>
        <v>66</v>
      </c>
      <c r="AE20" s="122">
        <f>AE16*AK10</f>
        <v>0</v>
      </c>
      <c r="AF20" s="122">
        <f>AF16*AK11</f>
        <v>135</v>
      </c>
      <c r="AG20" s="122">
        <f>AG16*AK12</f>
        <v>0</v>
      </c>
      <c r="AH20" s="122">
        <f>AH16*AK13</f>
        <v>0</v>
      </c>
      <c r="AI20" s="122">
        <f>AI16*AK14</f>
        <v>0</v>
      </c>
      <c r="AJ20" s="122">
        <f>AJ16*AK15</f>
        <v>0</v>
      </c>
      <c r="AK20" s="123">
        <f>SUM(AC20:AJ20)</f>
        <v>357</v>
      </c>
      <c r="AL20" s="128"/>
      <c r="AM20" s="123"/>
      <c r="AN20" s="44"/>
    </row>
    <row r="21" spans="1:40" ht="30" thickTop="1" thickBot="1">
      <c r="A21" s="13"/>
      <c r="B21" s="115"/>
      <c r="C21" s="115"/>
      <c r="D21" s="115"/>
      <c r="E21" s="115"/>
      <c r="F21" s="115"/>
      <c r="G21" s="115"/>
      <c r="H21" s="115"/>
      <c r="I21" t="s">
        <v>110</v>
      </c>
      <c r="J21" s="102">
        <f>L18</f>
        <v>1.8181818181818181E-2</v>
      </c>
      <c r="K21" s="104">
        <f>(J21-J22)/(1-J22)</f>
        <v>-2.0267949158364822E-2</v>
      </c>
      <c r="L21" s="44"/>
      <c r="Q21" s="100"/>
      <c r="R21" s="100"/>
      <c r="S21" s="100"/>
      <c r="T21" s="100"/>
      <c r="U21" s="100"/>
      <c r="V21" s="111"/>
      <c r="W21" s="132"/>
      <c r="X21" s="133"/>
      <c r="AB21" s="142" t="s">
        <v>134</v>
      </c>
      <c r="AC21" s="124">
        <f>(AC16*$AK8)+(AC16*$AK9)+(AC16*$AK10)+(AC16*$AK11)+(AC16*$AK12)+(AC16*$AK13)+(AC16*$AK14)+(AC16*$AK15)</f>
        <v>2145</v>
      </c>
      <c r="AD21" s="124">
        <f t="shared" ref="AD21:AJ21" si="15">(AD16*$AK8)+(AD16*$AK9)+(AD16*$AK10)+(AD16*$AK11)+(AD16*$AK12)+(AD16*$AK13)+(AD16*$AK14)+(AD16*$AK15)</f>
        <v>605</v>
      </c>
      <c r="AE21" s="124">
        <f t="shared" si="15"/>
        <v>0</v>
      </c>
      <c r="AF21" s="124">
        <f t="shared" si="15"/>
        <v>275</v>
      </c>
      <c r="AG21" s="124">
        <f t="shared" si="15"/>
        <v>0</v>
      </c>
      <c r="AH21" s="124">
        <f t="shared" si="15"/>
        <v>0</v>
      </c>
      <c r="AI21" s="124">
        <f t="shared" si="15"/>
        <v>0</v>
      </c>
      <c r="AJ21" s="124">
        <f t="shared" si="15"/>
        <v>0</v>
      </c>
      <c r="AK21" s="125">
        <f>SUM(AC21:AJ21)</f>
        <v>3025</v>
      </c>
      <c r="AL21" s="127"/>
      <c r="AM21" s="125" t="s">
        <v>32</v>
      </c>
      <c r="AN21" s="44"/>
    </row>
    <row r="22" spans="1:40" ht="22" thickTop="1">
      <c r="A22" s="187"/>
      <c r="B22" s="115"/>
      <c r="C22" s="115"/>
      <c r="D22" s="115"/>
      <c r="E22" s="115"/>
      <c r="F22" s="115"/>
      <c r="G22" s="115"/>
      <c r="H22" s="115"/>
      <c r="I22" t="s">
        <v>111</v>
      </c>
      <c r="J22" s="103">
        <f>I19/I20</f>
        <v>3.7685950413223139E-2</v>
      </c>
      <c r="K22" s="101"/>
      <c r="Q22" s="100"/>
      <c r="R22" s="100"/>
      <c r="S22" s="100"/>
      <c r="T22" s="100"/>
      <c r="U22" s="100"/>
      <c r="V22" s="111"/>
      <c r="W22" s="132"/>
      <c r="X22" s="101"/>
      <c r="AB22" s="187"/>
      <c r="AC22" s="13"/>
      <c r="AD22" s="115"/>
      <c r="AE22" s="115"/>
      <c r="AF22" s="115"/>
      <c r="AG22" s="115"/>
      <c r="AH22" s="115"/>
      <c r="AK22" t="s">
        <v>110</v>
      </c>
      <c r="AL22" s="102">
        <f>AN19</f>
        <v>0.27272727272727271</v>
      </c>
      <c r="AM22" s="104">
        <f>(AL22-AL23)/(1-AL23)</f>
        <v>0.17541229385307344</v>
      </c>
      <c r="AN22" s="44"/>
    </row>
    <row r="23" spans="1:40" ht="24">
      <c r="B23" s="126"/>
      <c r="C23" s="126"/>
      <c r="D23" s="126"/>
      <c r="E23" s="126"/>
      <c r="F23" s="126"/>
      <c r="G23" s="126"/>
      <c r="H23" s="126"/>
      <c r="I23" s="134"/>
      <c r="J23" s="135"/>
      <c r="K23" s="134"/>
      <c r="L23" s="137"/>
      <c r="P23" s="1"/>
      <c r="Y23" s="4"/>
      <c r="AB23" s="59"/>
      <c r="AC23" s="187"/>
      <c r="AD23" s="115"/>
      <c r="AE23" s="115"/>
      <c r="AF23" s="115"/>
      <c r="AG23" s="115"/>
      <c r="AH23" s="115"/>
      <c r="AK23" t="s">
        <v>111</v>
      </c>
      <c r="AL23" s="103">
        <f>AK20/AK21</f>
        <v>0.11801652892561984</v>
      </c>
      <c r="AM23" s="101"/>
    </row>
    <row r="24" spans="1:40" ht="24">
      <c r="A24" s="1"/>
      <c r="B24" s="126"/>
      <c r="C24" s="126"/>
      <c r="D24" s="126"/>
      <c r="E24" s="126"/>
      <c r="F24" s="126"/>
      <c r="G24" s="126"/>
      <c r="H24" s="126"/>
      <c r="I24" s="137"/>
      <c r="J24" s="134"/>
      <c r="K24" s="135"/>
      <c r="P24" s="1"/>
      <c r="Y24" s="4"/>
      <c r="AB24" s="1"/>
      <c r="AC24" s="126"/>
      <c r="AD24" s="126"/>
      <c r="AE24" s="126"/>
      <c r="AF24" s="126"/>
      <c r="AG24" s="126"/>
      <c r="AH24" s="126"/>
      <c r="AI24" s="126"/>
      <c r="AJ24" s="126"/>
      <c r="AK24" s="137"/>
      <c r="AL24" s="137"/>
      <c r="AM24" s="137"/>
    </row>
    <row r="25" spans="1:40" ht="24">
      <c r="A25" s="1"/>
      <c r="B25" s="126"/>
      <c r="C25" s="126"/>
      <c r="D25" s="126"/>
      <c r="E25" s="126"/>
      <c r="F25" s="126"/>
      <c r="G25" s="126"/>
      <c r="H25" s="126"/>
      <c r="I25" s="137"/>
      <c r="J25" s="138"/>
      <c r="K25" s="139"/>
      <c r="P25" s="1"/>
      <c r="Y25" s="4"/>
      <c r="AB25" s="1"/>
      <c r="AC25" s="126"/>
      <c r="AD25" s="126"/>
      <c r="AE25" s="126"/>
      <c r="AF25" s="126"/>
      <c r="AG25" s="126"/>
      <c r="AH25" s="126"/>
      <c r="AI25" s="126"/>
      <c r="AJ25" s="126"/>
      <c r="AK25" s="137"/>
      <c r="AL25" s="137"/>
      <c r="AM25" s="137"/>
    </row>
    <row r="26" spans="1:40" ht="21">
      <c r="A26" s="191" t="s">
        <v>115</v>
      </c>
      <c r="B26" s="191"/>
      <c r="C26" s="191"/>
      <c r="D26" s="191"/>
      <c r="E26" s="191"/>
      <c r="F26" s="191"/>
      <c r="G26" s="191"/>
      <c r="H26" s="191"/>
      <c r="I26" s="191"/>
      <c r="J26" s="191"/>
      <c r="K26" s="191"/>
      <c r="P26" s="191" t="s">
        <v>116</v>
      </c>
      <c r="Q26" s="191"/>
      <c r="R26" s="191"/>
      <c r="S26" s="191"/>
      <c r="T26" s="191"/>
      <c r="U26" s="191"/>
      <c r="V26" s="191"/>
      <c r="W26" s="191"/>
      <c r="X26" s="191"/>
      <c r="Y26" s="191"/>
      <c r="AB26" s="191" t="s">
        <v>116</v>
      </c>
      <c r="AC26" s="191"/>
      <c r="AD26" s="191"/>
      <c r="AE26" s="191"/>
      <c r="AF26" s="191"/>
      <c r="AG26" s="191"/>
      <c r="AH26" s="191"/>
      <c r="AI26" s="191"/>
      <c r="AJ26" s="191"/>
      <c r="AK26" s="191"/>
      <c r="AL26" s="191"/>
      <c r="AM26" s="5"/>
      <c r="AN26" s="5"/>
    </row>
    <row r="27" spans="1:40" ht="21">
      <c r="A27" s="5"/>
      <c r="B27" s="5"/>
      <c r="C27" s="5"/>
      <c r="D27" s="5"/>
      <c r="E27" s="5"/>
      <c r="F27" s="5"/>
      <c r="G27" s="5"/>
      <c r="H27" s="5"/>
      <c r="I27" s="5"/>
      <c r="J27" s="4"/>
      <c r="K27" s="5"/>
      <c r="P27" s="5"/>
      <c r="Q27" s="5"/>
      <c r="R27" s="5"/>
      <c r="S27" s="5"/>
      <c r="T27" s="5"/>
      <c r="U27" s="5"/>
      <c r="V27" s="5"/>
      <c r="W27" s="5"/>
      <c r="X27" s="5"/>
      <c r="Y27" s="5"/>
      <c r="AB27" s="5"/>
      <c r="AC27" s="5"/>
      <c r="AD27" s="5"/>
      <c r="AE27" s="5"/>
      <c r="AF27" s="5"/>
      <c r="AG27" s="5"/>
      <c r="AH27" s="5"/>
      <c r="AI27" s="5"/>
      <c r="AJ27" s="5"/>
      <c r="AK27" s="5"/>
      <c r="AL27" s="5"/>
      <c r="AM27" s="5"/>
      <c r="AN27" s="5"/>
    </row>
    <row r="28" spans="1:40" ht="17" thickBot="1">
      <c r="A28" s="188" t="s">
        <v>8</v>
      </c>
      <c r="B28" s="188"/>
      <c r="C28" s="188"/>
      <c r="D28" s="188"/>
      <c r="E28" s="188"/>
      <c r="F28" s="188"/>
      <c r="G28" s="188"/>
      <c r="H28" s="188"/>
      <c r="I28" s="188"/>
      <c r="J28" s="188"/>
      <c r="K28" s="188"/>
      <c r="P28" s="188" t="s">
        <v>8</v>
      </c>
      <c r="Q28" s="188"/>
      <c r="R28" s="188"/>
      <c r="S28" s="188"/>
      <c r="T28" s="188"/>
      <c r="U28" s="188"/>
      <c r="V28" s="188"/>
      <c r="W28" s="188"/>
      <c r="X28" s="188"/>
      <c r="Y28" s="190"/>
      <c r="AB28" s="188" t="s">
        <v>8</v>
      </c>
      <c r="AC28" s="188"/>
      <c r="AD28" s="188"/>
      <c r="AE28" s="188"/>
      <c r="AF28" s="188"/>
      <c r="AG28" s="188"/>
      <c r="AH28" s="188"/>
      <c r="AI28" s="188"/>
      <c r="AJ28" s="188"/>
      <c r="AK28" s="188"/>
      <c r="AL28" s="188"/>
      <c r="AM28" s="7"/>
    </row>
    <row r="29" spans="1:40" ht="91" thickBot="1">
      <c r="A29" s="8" t="s">
        <v>9</v>
      </c>
      <c r="B29" s="9" t="s">
        <v>10</v>
      </c>
      <c r="C29" s="9" t="s">
        <v>11</v>
      </c>
      <c r="D29" s="9" t="s">
        <v>12</v>
      </c>
      <c r="E29" s="9" t="s">
        <v>13</v>
      </c>
      <c r="F29" s="9" t="s">
        <v>14</v>
      </c>
      <c r="G29" s="9" t="s">
        <v>15</v>
      </c>
      <c r="H29" s="9" t="s">
        <v>16</v>
      </c>
      <c r="I29" s="10" t="s">
        <v>17</v>
      </c>
      <c r="J29" s="11" t="s">
        <v>18</v>
      </c>
      <c r="K29" s="12" t="s">
        <v>19</v>
      </c>
      <c r="P29" s="8" t="s">
        <v>20</v>
      </c>
      <c r="Q29" s="9" t="s">
        <v>10</v>
      </c>
      <c r="R29" s="9" t="s">
        <v>11</v>
      </c>
      <c r="S29" s="9" t="s">
        <v>21</v>
      </c>
      <c r="T29" s="9" t="s">
        <v>22</v>
      </c>
      <c r="U29" s="9" t="s">
        <v>16</v>
      </c>
      <c r="V29" s="10" t="s">
        <v>17</v>
      </c>
      <c r="W29" s="15" t="s">
        <v>18</v>
      </c>
      <c r="X29" s="12" t="s">
        <v>19</v>
      </c>
      <c r="Y29" s="16"/>
      <c r="AB29" s="8" t="s">
        <v>23</v>
      </c>
      <c r="AC29" s="17" t="s">
        <v>24</v>
      </c>
      <c r="AD29" s="17" t="s">
        <v>25</v>
      </c>
      <c r="AE29" s="17" t="s">
        <v>26</v>
      </c>
      <c r="AF29" s="17" t="s">
        <v>27</v>
      </c>
      <c r="AG29" s="17" t="s">
        <v>28</v>
      </c>
      <c r="AH29" s="17" t="s">
        <v>29</v>
      </c>
      <c r="AI29" s="17" t="s">
        <v>30</v>
      </c>
      <c r="AJ29" s="17" t="s">
        <v>16</v>
      </c>
      <c r="AK29" s="18" t="s">
        <v>17</v>
      </c>
      <c r="AL29" s="18" t="s">
        <v>18</v>
      </c>
      <c r="AM29" s="19" t="s">
        <v>19</v>
      </c>
    </row>
    <row r="30" spans="1:40" ht="56">
      <c r="A30" s="20" t="s">
        <v>10</v>
      </c>
      <c r="B30" s="13"/>
      <c r="C30" s="13"/>
      <c r="D30" s="13"/>
      <c r="E30" s="13"/>
      <c r="F30" s="13">
        <v>3</v>
      </c>
      <c r="G30" s="13">
        <v>4</v>
      </c>
      <c r="H30" s="13"/>
      <c r="I30" s="21">
        <f t="shared" ref="I30:I37" si="16">SUM(B30:H30)</f>
        <v>7</v>
      </c>
      <c r="J30" s="22">
        <f t="shared" ref="J30:J36" si="17">1-K30</f>
        <v>1</v>
      </c>
      <c r="K30" s="23">
        <f t="shared" ref="K30:K34" si="18">H30/I30</f>
        <v>0</v>
      </c>
      <c r="P30" s="20" t="s">
        <v>10</v>
      </c>
      <c r="Q30" s="13"/>
      <c r="R30" s="13"/>
      <c r="S30" s="13"/>
      <c r="T30" s="13">
        <v>7</v>
      </c>
      <c r="U30" s="13"/>
      <c r="V30" s="21">
        <f t="shared" ref="V30:V35" si="19">SUM(Q30:U30)</f>
        <v>7</v>
      </c>
      <c r="W30" s="25">
        <f>1-X30</f>
        <v>1</v>
      </c>
      <c r="X30" s="23">
        <f>Q30/V30</f>
        <v>0</v>
      </c>
      <c r="Y30" s="21"/>
      <c r="AB30" s="26" t="s">
        <v>24</v>
      </c>
      <c r="AC30" s="27">
        <v>3</v>
      </c>
      <c r="AD30" s="28"/>
      <c r="AE30" s="28"/>
      <c r="AF30" s="28"/>
      <c r="AG30" s="28"/>
      <c r="AH30" s="28"/>
      <c r="AI30" s="28"/>
      <c r="AK30" s="29">
        <f t="shared" ref="AK30:AK36" si="20">SUM(AC30:AI30)</f>
        <v>3</v>
      </c>
      <c r="AL30" s="25">
        <f t="shared" ref="AL30:AL37" si="21">1-AM30</f>
        <v>1</v>
      </c>
      <c r="AM30" s="23">
        <f t="shared" ref="AM30:AM36" si="22">AJ30/AK30</f>
        <v>0</v>
      </c>
    </row>
    <row r="31" spans="1:40" ht="45">
      <c r="A31" s="20" t="s">
        <v>11</v>
      </c>
      <c r="B31" s="13"/>
      <c r="C31" s="13"/>
      <c r="D31" s="13"/>
      <c r="E31" s="13">
        <v>2</v>
      </c>
      <c r="F31" s="13">
        <v>3</v>
      </c>
      <c r="G31" s="13">
        <v>5</v>
      </c>
      <c r="H31" s="13"/>
      <c r="I31" s="21">
        <f t="shared" si="16"/>
        <v>10</v>
      </c>
      <c r="J31" s="22">
        <f t="shared" si="17"/>
        <v>1</v>
      </c>
      <c r="K31" s="23">
        <f t="shared" si="18"/>
        <v>0</v>
      </c>
      <c r="P31" s="20" t="s">
        <v>11</v>
      </c>
      <c r="Q31" s="13"/>
      <c r="R31" s="13"/>
      <c r="S31" s="13"/>
      <c r="T31" s="13"/>
      <c r="U31" s="13"/>
      <c r="V31" s="21">
        <f t="shared" si="19"/>
        <v>0</v>
      </c>
      <c r="W31" s="25">
        <f t="shared" ref="W31:W34" si="23">1-X31</f>
        <v>0</v>
      </c>
      <c r="X31" s="23">
        <v>1</v>
      </c>
      <c r="Y31" s="21"/>
      <c r="AB31" s="32" t="s">
        <v>25</v>
      </c>
      <c r="AC31" s="16"/>
      <c r="AD31" s="13">
        <v>4</v>
      </c>
      <c r="AE31" s="13"/>
      <c r="AF31" s="13"/>
      <c r="AG31" s="13"/>
      <c r="AH31" s="13"/>
      <c r="AI31" s="13"/>
      <c r="AK31" s="21">
        <f t="shared" si="20"/>
        <v>4</v>
      </c>
      <c r="AL31" s="25">
        <f t="shared" si="21"/>
        <v>1</v>
      </c>
      <c r="AM31" s="23">
        <f t="shared" si="22"/>
        <v>0</v>
      </c>
    </row>
    <row r="32" spans="1:40" ht="60">
      <c r="A32" s="20" t="s">
        <v>12</v>
      </c>
      <c r="B32" s="13"/>
      <c r="C32" s="13"/>
      <c r="D32" s="13"/>
      <c r="E32" s="13"/>
      <c r="F32" s="13"/>
      <c r="G32" s="13"/>
      <c r="H32" s="13"/>
      <c r="I32" s="21">
        <f t="shared" si="16"/>
        <v>0</v>
      </c>
      <c r="J32" s="22">
        <f t="shared" si="17"/>
        <v>0</v>
      </c>
      <c r="K32" s="23">
        <v>1</v>
      </c>
      <c r="P32" s="20" t="s">
        <v>21</v>
      </c>
      <c r="Q32" s="13"/>
      <c r="R32" s="13"/>
      <c r="S32" s="13">
        <v>3</v>
      </c>
      <c r="T32" s="13">
        <v>43</v>
      </c>
      <c r="U32" s="13"/>
      <c r="V32" s="21">
        <f t="shared" si="19"/>
        <v>46</v>
      </c>
      <c r="W32" s="25">
        <f t="shared" si="23"/>
        <v>0.93478260869565222</v>
      </c>
      <c r="X32" s="23">
        <f>S32/V32</f>
        <v>6.5217391304347824E-2</v>
      </c>
      <c r="Y32" s="21"/>
      <c r="AB32" s="32" t="s">
        <v>26</v>
      </c>
      <c r="AC32" s="16"/>
      <c r="AD32" s="13"/>
      <c r="AE32" s="13">
        <v>12</v>
      </c>
      <c r="AF32" s="13"/>
      <c r="AG32" s="13"/>
      <c r="AH32" s="13"/>
      <c r="AI32" s="13"/>
      <c r="AK32" s="21">
        <f t="shared" si="20"/>
        <v>12</v>
      </c>
      <c r="AL32" s="25">
        <f t="shared" si="21"/>
        <v>1</v>
      </c>
      <c r="AM32" s="23">
        <f t="shared" si="22"/>
        <v>0</v>
      </c>
    </row>
    <row r="33" spans="1:40" ht="45">
      <c r="A33" s="20" t="s">
        <v>13</v>
      </c>
      <c r="B33" s="13"/>
      <c r="C33" s="13"/>
      <c r="D33" s="13"/>
      <c r="E33" s="13">
        <v>1</v>
      </c>
      <c r="F33" s="13">
        <v>8</v>
      </c>
      <c r="G33" s="13">
        <v>27</v>
      </c>
      <c r="H33" s="13"/>
      <c r="I33" s="21">
        <f t="shared" si="16"/>
        <v>36</v>
      </c>
      <c r="J33" s="22">
        <f t="shared" si="17"/>
        <v>1</v>
      </c>
      <c r="K33" s="23">
        <f t="shared" si="18"/>
        <v>0</v>
      </c>
      <c r="P33" s="20" t="s">
        <v>22</v>
      </c>
      <c r="Q33" s="13"/>
      <c r="R33" s="13"/>
      <c r="S33" s="13"/>
      <c r="T33" s="13">
        <v>1</v>
      </c>
      <c r="U33" s="13"/>
      <c r="V33" s="21">
        <f t="shared" si="19"/>
        <v>1</v>
      </c>
      <c r="W33" s="25">
        <f t="shared" si="23"/>
        <v>0</v>
      </c>
      <c r="X33" s="23">
        <f>T33/V33</f>
        <v>1</v>
      </c>
      <c r="Y33" s="21"/>
      <c r="AB33" s="32" t="s">
        <v>27</v>
      </c>
      <c r="AC33" s="16">
        <v>20</v>
      </c>
      <c r="AD33" s="13"/>
      <c r="AE33" s="13"/>
      <c r="AF33" s="13">
        <v>8</v>
      </c>
      <c r="AG33" s="13"/>
      <c r="AH33" s="13"/>
      <c r="AI33" s="13"/>
      <c r="AK33" s="21">
        <f t="shared" si="20"/>
        <v>28</v>
      </c>
      <c r="AL33" s="25">
        <f t="shared" si="21"/>
        <v>1</v>
      </c>
      <c r="AM33" s="23">
        <f t="shared" si="22"/>
        <v>0</v>
      </c>
    </row>
    <row r="34" spans="1:40" ht="45">
      <c r="A34" s="20" t="s">
        <v>14</v>
      </c>
      <c r="B34" s="13"/>
      <c r="C34" s="13"/>
      <c r="D34" s="13"/>
      <c r="E34" s="13"/>
      <c r="F34" s="13"/>
      <c r="G34" s="13">
        <v>1</v>
      </c>
      <c r="H34" s="13"/>
      <c r="I34" s="21">
        <f t="shared" si="16"/>
        <v>1</v>
      </c>
      <c r="J34" s="22">
        <f t="shared" si="17"/>
        <v>1</v>
      </c>
      <c r="K34" s="23">
        <f t="shared" si="18"/>
        <v>0</v>
      </c>
      <c r="P34" s="20" t="s">
        <v>16</v>
      </c>
      <c r="Q34" s="13"/>
      <c r="R34" s="13"/>
      <c r="S34" s="13">
        <v>1</v>
      </c>
      <c r="T34" s="13"/>
      <c r="U34" s="13"/>
      <c r="V34" s="21">
        <f t="shared" si="19"/>
        <v>1</v>
      </c>
      <c r="W34" s="25">
        <f t="shared" si="23"/>
        <v>1</v>
      </c>
      <c r="X34" s="23">
        <f>U34/V34</f>
        <v>0</v>
      </c>
      <c r="Y34" s="21"/>
      <c r="AB34" s="32" t="s">
        <v>28</v>
      </c>
      <c r="AC34" s="16"/>
      <c r="AD34" s="13"/>
      <c r="AE34" s="13"/>
      <c r="AF34" s="13"/>
      <c r="AG34" s="13"/>
      <c r="AH34" s="13"/>
      <c r="AI34" s="13"/>
      <c r="AK34" s="21">
        <f t="shared" si="20"/>
        <v>0</v>
      </c>
      <c r="AL34" s="25">
        <f t="shared" si="21"/>
        <v>0</v>
      </c>
      <c r="AM34" s="23">
        <v>1</v>
      </c>
    </row>
    <row r="35" spans="1:40" ht="45">
      <c r="A35" s="20" t="s">
        <v>15</v>
      </c>
      <c r="B35" s="13"/>
      <c r="C35" s="13"/>
      <c r="D35" s="13"/>
      <c r="E35" s="13"/>
      <c r="F35" s="13"/>
      <c r="G35" s="13"/>
      <c r="H35" s="13"/>
      <c r="I35" s="21">
        <f t="shared" si="16"/>
        <v>0</v>
      </c>
      <c r="J35" s="22">
        <f t="shared" si="17"/>
        <v>0</v>
      </c>
      <c r="K35" s="23">
        <v>1</v>
      </c>
      <c r="P35" s="33" t="s">
        <v>17</v>
      </c>
      <c r="Q35" s="21">
        <f>SUM(Q30:Q34)</f>
        <v>0</v>
      </c>
      <c r="R35" s="21">
        <f>SUM(R30:R34)</f>
        <v>0</v>
      </c>
      <c r="S35" s="21">
        <f>SUM(S30:S34)</f>
        <v>4</v>
      </c>
      <c r="T35" s="21">
        <f>SUM(T30:T34)</f>
        <v>51</v>
      </c>
      <c r="U35" s="21">
        <f>SUM(U30:U34)</f>
        <v>0</v>
      </c>
      <c r="V35" s="21">
        <f t="shared" si="19"/>
        <v>55</v>
      </c>
      <c r="W35" s="21"/>
      <c r="X35" s="34"/>
      <c r="Y35" s="21"/>
      <c r="AB35" s="32" t="s">
        <v>29</v>
      </c>
      <c r="AC35" s="16">
        <v>2</v>
      </c>
      <c r="AD35" s="13"/>
      <c r="AE35" s="13"/>
      <c r="AF35" s="13"/>
      <c r="AG35" s="13"/>
      <c r="AH35" s="13"/>
      <c r="AI35" s="13"/>
      <c r="AK35" s="21">
        <f t="shared" si="20"/>
        <v>2</v>
      </c>
      <c r="AL35" s="25">
        <f t="shared" si="21"/>
        <v>1</v>
      </c>
      <c r="AM35" s="23">
        <f t="shared" si="22"/>
        <v>0</v>
      </c>
    </row>
    <row r="36" spans="1:40" ht="45">
      <c r="A36" s="20" t="s">
        <v>16</v>
      </c>
      <c r="B36" s="13"/>
      <c r="C36" s="13"/>
      <c r="D36" s="13"/>
      <c r="E36" s="13">
        <v>1</v>
      </c>
      <c r="F36" s="13"/>
      <c r="G36" s="13"/>
      <c r="H36" s="13"/>
      <c r="I36" s="21">
        <f t="shared" si="16"/>
        <v>1</v>
      </c>
      <c r="J36" s="22">
        <f t="shared" si="17"/>
        <v>1</v>
      </c>
      <c r="K36" s="23">
        <f>H36/I36</f>
        <v>0</v>
      </c>
      <c r="P36" s="33" t="s">
        <v>31</v>
      </c>
      <c r="Q36" s="25">
        <f>1-Q37</f>
        <v>0</v>
      </c>
      <c r="R36" s="25">
        <f t="shared" ref="R36:U36" si="24">1-R37</f>
        <v>0</v>
      </c>
      <c r="S36" s="25">
        <f t="shared" si="24"/>
        <v>0.25</v>
      </c>
      <c r="T36" s="25">
        <f t="shared" si="24"/>
        <v>0.98039215686274506</v>
      </c>
      <c r="U36" s="25">
        <f t="shared" si="24"/>
        <v>0</v>
      </c>
      <c r="V36" s="13"/>
      <c r="W36" s="35" t="s">
        <v>32</v>
      </c>
      <c r="X36" s="36">
        <f>X41</f>
        <v>-5.3763440860215084E-3</v>
      </c>
      <c r="Y36" s="21"/>
      <c r="AB36" s="32" t="s">
        <v>30</v>
      </c>
      <c r="AC36" s="16">
        <v>1</v>
      </c>
      <c r="AD36" s="13"/>
      <c r="AE36" s="13"/>
      <c r="AF36" s="13"/>
      <c r="AG36" s="13"/>
      <c r="AH36" s="13"/>
      <c r="AI36" s="13"/>
      <c r="AK36" s="21">
        <f t="shared" si="20"/>
        <v>1</v>
      </c>
      <c r="AL36" s="25">
        <f t="shared" si="21"/>
        <v>1</v>
      </c>
      <c r="AM36" s="23">
        <f t="shared" si="22"/>
        <v>0</v>
      </c>
    </row>
    <row r="37" spans="1:40" ht="33" thickBot="1">
      <c r="A37" s="33" t="s">
        <v>17</v>
      </c>
      <c r="B37" s="21"/>
      <c r="C37" s="21"/>
      <c r="D37" s="21"/>
      <c r="E37" s="21">
        <f t="shared" ref="E37:H37" si="25">SUM(E30:E36)</f>
        <v>4</v>
      </c>
      <c r="F37" s="21">
        <f t="shared" si="25"/>
        <v>14</v>
      </c>
      <c r="G37" s="21">
        <f t="shared" si="25"/>
        <v>37</v>
      </c>
      <c r="H37" s="21">
        <f t="shared" si="25"/>
        <v>0</v>
      </c>
      <c r="I37" s="21">
        <f t="shared" si="16"/>
        <v>55</v>
      </c>
      <c r="J37" s="37"/>
      <c r="K37" s="34"/>
      <c r="P37" s="38" t="s">
        <v>33</v>
      </c>
      <c r="Q37" s="40">
        <v>1</v>
      </c>
      <c r="R37" s="40">
        <v>1</v>
      </c>
      <c r="S37" s="40">
        <f>S32/S35</f>
        <v>0.75</v>
      </c>
      <c r="T37" s="40">
        <f>T33/T35</f>
        <v>1.9607843137254902E-2</v>
      </c>
      <c r="U37" s="40">
        <v>1</v>
      </c>
      <c r="V37" s="41"/>
      <c r="W37" s="42" t="s">
        <v>34</v>
      </c>
      <c r="X37" s="43">
        <f>Y38</f>
        <v>7.2727272727272724E-2</v>
      </c>
      <c r="Y37" s="44"/>
      <c r="AB37" s="60" t="s">
        <v>16</v>
      </c>
      <c r="AC37" s="16">
        <v>5</v>
      </c>
      <c r="AK37" s="21">
        <f>SUM(AC37:AJ37)</f>
        <v>5</v>
      </c>
      <c r="AL37" s="25">
        <f t="shared" si="21"/>
        <v>1</v>
      </c>
      <c r="AM37" s="23">
        <f>AJ37/AK37</f>
        <v>0</v>
      </c>
    </row>
    <row r="38" spans="1:40" ht="28">
      <c r="A38" s="33" t="s">
        <v>31</v>
      </c>
      <c r="B38" s="25">
        <f>1-B39</f>
        <v>0</v>
      </c>
      <c r="C38" s="25">
        <f t="shared" ref="C38:H38" si="26">1-C39</f>
        <v>0</v>
      </c>
      <c r="D38" s="25">
        <f t="shared" si="26"/>
        <v>0</v>
      </c>
      <c r="E38" s="25">
        <f t="shared" si="26"/>
        <v>0.75</v>
      </c>
      <c r="F38" s="25">
        <f t="shared" si="26"/>
        <v>1</v>
      </c>
      <c r="G38" s="25">
        <f t="shared" si="26"/>
        <v>1</v>
      </c>
      <c r="H38" s="25">
        <f t="shared" si="26"/>
        <v>0</v>
      </c>
      <c r="I38" s="13"/>
      <c r="J38" s="35" t="s">
        <v>32</v>
      </c>
      <c r="K38" s="36">
        <f>K43</f>
        <v>-3.5926055109870951E-2</v>
      </c>
      <c r="P38" s="129" t="s">
        <v>136</v>
      </c>
      <c r="W38" s="4"/>
      <c r="Y38" s="50">
        <f>SUM(Q30,R31,S32,T33,U34)/V35</f>
        <v>7.2727272727272724E-2</v>
      </c>
      <c r="AB38" s="33" t="s">
        <v>17</v>
      </c>
      <c r="AC38" s="21">
        <f t="shared" ref="AC38:AI38" si="27">SUM(AC30:AC37)</f>
        <v>31</v>
      </c>
      <c r="AD38" s="21">
        <f t="shared" si="27"/>
        <v>4</v>
      </c>
      <c r="AE38" s="21">
        <f t="shared" si="27"/>
        <v>12</v>
      </c>
      <c r="AF38" s="21">
        <f t="shared" si="27"/>
        <v>8</v>
      </c>
      <c r="AG38" s="21">
        <f t="shared" si="27"/>
        <v>0</v>
      </c>
      <c r="AH38" s="21">
        <f t="shared" si="27"/>
        <v>0</v>
      </c>
      <c r="AI38" s="21">
        <f t="shared" si="27"/>
        <v>0</v>
      </c>
      <c r="AJ38" s="21">
        <f>SUM(AJ30:AJ37)</f>
        <v>0</v>
      </c>
      <c r="AK38" s="21">
        <f>SUM(AC38:AJ38)</f>
        <v>55</v>
      </c>
      <c r="AM38" s="51"/>
    </row>
    <row r="39" spans="1:40" ht="33" thickBot="1">
      <c r="A39" s="38" t="s">
        <v>33</v>
      </c>
      <c r="B39" s="39">
        <v>1</v>
      </c>
      <c r="C39" s="40">
        <v>1</v>
      </c>
      <c r="D39" s="40">
        <v>1</v>
      </c>
      <c r="E39" s="40">
        <f>E33/E37</f>
        <v>0.25</v>
      </c>
      <c r="F39" s="40">
        <f>F34/F37</f>
        <v>0</v>
      </c>
      <c r="G39" s="40">
        <f>G35/G37</f>
        <v>0</v>
      </c>
      <c r="H39" s="39">
        <v>1</v>
      </c>
      <c r="I39" s="41"/>
      <c r="J39" s="42" t="s">
        <v>34</v>
      </c>
      <c r="K39" s="43">
        <f>L40</f>
        <v>1.8181818181818181E-2</v>
      </c>
      <c r="P39" s="141" t="s">
        <v>135</v>
      </c>
      <c r="Q39" s="122">
        <f>Q35*V30</f>
        <v>0</v>
      </c>
      <c r="R39" s="122">
        <f>R35*V31</f>
        <v>0</v>
      </c>
      <c r="S39" s="122">
        <f>S35*V32</f>
        <v>184</v>
      </c>
      <c r="T39" s="122">
        <f>T35*V33</f>
        <v>51</v>
      </c>
      <c r="U39" s="122">
        <f>U35*V34</f>
        <v>0</v>
      </c>
      <c r="V39" s="123">
        <f>SUM(Q39:U39)</f>
        <v>235</v>
      </c>
      <c r="W39" s="128"/>
      <c r="X39" s="123"/>
      <c r="Y39" s="44"/>
      <c r="AB39" s="33" t="s">
        <v>35</v>
      </c>
      <c r="AC39" s="53">
        <f>1-AC40</f>
        <v>0.90322580645161288</v>
      </c>
      <c r="AD39" s="54">
        <f>1-AD40</f>
        <v>0</v>
      </c>
      <c r="AE39" s="54">
        <f t="shared" ref="AE39:AJ39" si="28">1-AE40</f>
        <v>0</v>
      </c>
      <c r="AF39" s="54">
        <f t="shared" si="28"/>
        <v>0</v>
      </c>
      <c r="AG39" s="54">
        <f t="shared" si="28"/>
        <v>0</v>
      </c>
      <c r="AH39" s="54">
        <f t="shared" si="28"/>
        <v>0</v>
      </c>
      <c r="AI39" s="54">
        <f t="shared" si="28"/>
        <v>0</v>
      </c>
      <c r="AJ39" s="54">
        <f t="shared" si="28"/>
        <v>0</v>
      </c>
      <c r="AL39" s="35" t="s">
        <v>32</v>
      </c>
      <c r="AM39" s="36">
        <f>AM44</f>
        <v>0.39560439560439559</v>
      </c>
    </row>
    <row r="40" spans="1:40" ht="54" customHeight="1" thickBot="1">
      <c r="A40" s="129" t="s">
        <v>136</v>
      </c>
      <c r="J40" s="4"/>
      <c r="L40" s="50">
        <f>SUM(B30,C31,D32,E33,F34,G35,H36)/I37</f>
        <v>1.8181818181818181E-2</v>
      </c>
      <c r="P40" s="142" t="s">
        <v>134</v>
      </c>
      <c r="Q40" s="124">
        <f>(Q35*$V30)+(Q35*$V31)+(Q35*$V32)+(Q35*$V33)+(Q35*$V34)</f>
        <v>0</v>
      </c>
      <c r="R40" s="124">
        <f t="shared" ref="R40:U40" si="29">(R35*$V30)+(R35*$V31)+(R35*$V32)+(R35*$V33)+(R35*$V34)</f>
        <v>0</v>
      </c>
      <c r="S40" s="124">
        <f t="shared" si="29"/>
        <v>220</v>
      </c>
      <c r="T40" s="124">
        <f t="shared" si="29"/>
        <v>2805</v>
      </c>
      <c r="U40" s="124">
        <f t="shared" si="29"/>
        <v>0</v>
      </c>
      <c r="V40" s="125">
        <f>SUM(Q40:U40)</f>
        <v>3025</v>
      </c>
      <c r="W40" s="127"/>
      <c r="X40" s="125" t="s">
        <v>32</v>
      </c>
      <c r="Y40" s="44"/>
      <c r="AB40" s="38" t="s">
        <v>33</v>
      </c>
      <c r="AC40" s="56">
        <f>AC30/AC38</f>
        <v>9.6774193548387094E-2</v>
      </c>
      <c r="AD40" s="57">
        <f>AD31/AD38</f>
        <v>1</v>
      </c>
      <c r="AE40" s="57">
        <f>AE32/AE38</f>
        <v>1</v>
      </c>
      <c r="AF40" s="57">
        <f>AF33/AF38</f>
        <v>1</v>
      </c>
      <c r="AG40" s="57">
        <v>1</v>
      </c>
      <c r="AH40" s="57">
        <v>1</v>
      </c>
      <c r="AI40" s="57">
        <v>1</v>
      </c>
      <c r="AJ40" s="57">
        <v>1</v>
      </c>
      <c r="AK40" s="41"/>
      <c r="AL40" s="42" t="s">
        <v>34</v>
      </c>
      <c r="AM40" s="43">
        <f>AN41</f>
        <v>0.49090909090909091</v>
      </c>
    </row>
    <row r="41" spans="1:40" ht="29" thickTop="1">
      <c r="A41" s="130" t="s">
        <v>135</v>
      </c>
      <c r="B41" s="122">
        <f>B37*I30</f>
        <v>0</v>
      </c>
      <c r="C41" s="122">
        <f>C37*I31</f>
        <v>0</v>
      </c>
      <c r="D41" s="122">
        <f>D37*I32</f>
        <v>0</v>
      </c>
      <c r="E41" s="122">
        <f>E37*I33</f>
        <v>144</v>
      </c>
      <c r="F41" s="122">
        <f>F37*I34</f>
        <v>14</v>
      </c>
      <c r="G41" s="122">
        <f>G37*I35</f>
        <v>0</v>
      </c>
      <c r="H41" s="122">
        <f>H37*I36</f>
        <v>0</v>
      </c>
      <c r="I41" s="123">
        <f>SUM(B41:H41)</f>
        <v>158</v>
      </c>
      <c r="J41" s="128"/>
      <c r="K41" s="123"/>
      <c r="L41" s="44"/>
      <c r="P41" s="13"/>
      <c r="Q41" s="115"/>
      <c r="R41" s="115"/>
      <c r="S41" s="115"/>
      <c r="T41" s="115"/>
      <c r="U41" s="115"/>
      <c r="V41" t="s">
        <v>110</v>
      </c>
      <c r="W41" s="102">
        <f>Y38</f>
        <v>7.2727272727272724E-2</v>
      </c>
      <c r="X41" s="104">
        <f>(W41-W42)/(1-W42)</f>
        <v>-5.3763440860215084E-3</v>
      </c>
      <c r="Y41" s="44"/>
      <c r="AB41" s="129" t="s">
        <v>136</v>
      </c>
      <c r="AL41" s="4"/>
      <c r="AN41" s="50">
        <f>SUM(AC30,AD31,AE32,AF33,AG34,AH35,AI36,AJ37)/AK38</f>
        <v>0.49090909090909091</v>
      </c>
    </row>
    <row r="42" spans="1:40" ht="43" thickBot="1">
      <c r="A42" s="131" t="s">
        <v>134</v>
      </c>
      <c r="B42" s="124">
        <f>(B37*$I30)+(B37*$I31)+(B37*$I32)+(B37*$I33)+(B37*$I34)+(B37*$I35)+(B37*$I36)</f>
        <v>0</v>
      </c>
      <c r="C42" s="124">
        <f t="shared" ref="C42:I42" si="30">(C37*$I30)+(C37*$I31)+(C37*$I32)+(C37*$I33)+(C37*$I34)+(C37*$I35)+(C37*$I36)</f>
        <v>0</v>
      </c>
      <c r="D42" s="124">
        <f t="shared" si="30"/>
        <v>0</v>
      </c>
      <c r="E42" s="124">
        <f t="shared" si="30"/>
        <v>220</v>
      </c>
      <c r="F42" s="124">
        <f t="shared" si="30"/>
        <v>770</v>
      </c>
      <c r="G42" s="124">
        <f t="shared" si="30"/>
        <v>2035</v>
      </c>
      <c r="H42" s="124">
        <f>(H37*$I30)+(H37*$I31)+(H37*$I32)+(H37*$I33)+(H37*$I34)+(H37*$I35)+(H37*$I36)</f>
        <v>0</v>
      </c>
      <c r="I42" s="125">
        <f>SUM(B42:H42)</f>
        <v>3025</v>
      </c>
      <c r="J42" s="127"/>
      <c r="K42" s="125" t="s">
        <v>32</v>
      </c>
      <c r="L42" s="44"/>
      <c r="P42" s="187"/>
      <c r="Q42" s="115"/>
      <c r="R42" s="115"/>
      <c r="S42" s="115"/>
      <c r="T42" s="115"/>
      <c r="U42" s="115"/>
      <c r="V42" t="s">
        <v>111</v>
      </c>
      <c r="W42" s="103">
        <f>V39/V40</f>
        <v>7.768595041322314E-2</v>
      </c>
      <c r="X42" s="101"/>
      <c r="AB42" s="141" t="s">
        <v>135</v>
      </c>
      <c r="AC42" s="122">
        <f>AC38*AK30</f>
        <v>93</v>
      </c>
      <c r="AD42" s="122">
        <f>AD38*AK31</f>
        <v>16</v>
      </c>
      <c r="AE42" s="122">
        <f>AE38*AK32</f>
        <v>144</v>
      </c>
      <c r="AF42" s="122">
        <f>AF38*AK33</f>
        <v>224</v>
      </c>
      <c r="AG42" s="122">
        <f>AG38*AK34</f>
        <v>0</v>
      </c>
      <c r="AH42" s="122">
        <f>AH38*AK35</f>
        <v>0</v>
      </c>
      <c r="AI42" s="122">
        <f>AI38*AK36</f>
        <v>0</v>
      </c>
      <c r="AJ42" s="122">
        <f>AJ38*AK37</f>
        <v>0</v>
      </c>
      <c r="AK42" s="123">
        <f>SUM(AC42:AJ42)</f>
        <v>477</v>
      </c>
      <c r="AL42" s="128"/>
      <c r="AM42" s="123"/>
      <c r="AN42" s="44"/>
    </row>
    <row r="43" spans="1:40" ht="30" thickTop="1" thickBot="1">
      <c r="A43" s="13"/>
      <c r="B43" s="115"/>
      <c r="C43" s="115"/>
      <c r="D43" s="115"/>
      <c r="E43" s="115"/>
      <c r="F43" s="115"/>
      <c r="G43" s="115"/>
      <c r="H43" s="115"/>
      <c r="I43" t="s">
        <v>110</v>
      </c>
      <c r="J43" s="102">
        <f>L40</f>
        <v>1.8181818181818181E-2</v>
      </c>
      <c r="K43" s="104">
        <f>(J43-J44)/(1-J44)</f>
        <v>-3.5926055109870951E-2</v>
      </c>
      <c r="L43" s="44"/>
      <c r="Q43" s="100"/>
      <c r="R43" s="100"/>
      <c r="S43" s="100"/>
      <c r="T43" s="100"/>
      <c r="U43" s="100"/>
      <c r="V43" s="111"/>
      <c r="W43" s="132"/>
      <c r="X43" s="133"/>
      <c r="AB43" s="142" t="s">
        <v>134</v>
      </c>
      <c r="AC43" s="124">
        <f>(AC38*$AK30)+(AC38*$AK31)+(AC38*$AK32)+(AC38*$AK33)+(AC38*$AK34)+(AC38*$AK35)+(AC38*$AK36)+(AC38*$AK37)</f>
        <v>1705</v>
      </c>
      <c r="AD43" s="124">
        <f t="shared" ref="AD43:AJ43" si="31">(AD38*$AK30)+(AD38*$AK31)+(AD38*$AK32)+(AD38*$AK33)+(AD38*$AK34)+(AD38*$AK35)+(AD38*$AK36)+(AD38*$AK37)</f>
        <v>220</v>
      </c>
      <c r="AE43" s="124">
        <f t="shared" si="31"/>
        <v>660</v>
      </c>
      <c r="AF43" s="124">
        <f t="shared" si="31"/>
        <v>440</v>
      </c>
      <c r="AG43" s="124">
        <f t="shared" si="31"/>
        <v>0</v>
      </c>
      <c r="AH43" s="124">
        <f t="shared" si="31"/>
        <v>0</v>
      </c>
      <c r="AI43" s="124">
        <f t="shared" si="31"/>
        <v>0</v>
      </c>
      <c r="AJ43" s="124">
        <f t="shared" si="31"/>
        <v>0</v>
      </c>
      <c r="AK43" s="125">
        <f>SUM(AC43:AJ43)</f>
        <v>3025</v>
      </c>
      <c r="AL43" s="127"/>
      <c r="AM43" s="125" t="s">
        <v>32</v>
      </c>
      <c r="AN43" s="44"/>
    </row>
    <row r="44" spans="1:40" ht="22" thickTop="1">
      <c r="A44" s="187"/>
      <c r="B44" s="115"/>
      <c r="C44" s="115"/>
      <c r="D44" s="115"/>
      <c r="E44" s="115"/>
      <c r="F44" s="115"/>
      <c r="G44" s="115"/>
      <c r="H44" s="115"/>
      <c r="I44" t="s">
        <v>111</v>
      </c>
      <c r="J44" s="103">
        <f>I41/I42</f>
        <v>5.2231404958677688E-2</v>
      </c>
      <c r="K44" s="101"/>
      <c r="Q44" s="100"/>
      <c r="R44" s="100"/>
      <c r="S44" s="100"/>
      <c r="T44" s="100"/>
      <c r="U44" s="100"/>
      <c r="V44" s="111"/>
      <c r="W44" s="132"/>
      <c r="X44" s="101"/>
      <c r="AB44" s="187"/>
      <c r="AC44" s="13"/>
      <c r="AD44" s="115"/>
      <c r="AE44" s="115"/>
      <c r="AF44" s="115"/>
      <c r="AG44" s="115"/>
      <c r="AH44" s="115"/>
      <c r="AK44" t="s">
        <v>110</v>
      </c>
      <c r="AL44" s="102">
        <f>AN41</f>
        <v>0.49090909090909091</v>
      </c>
      <c r="AM44" s="104">
        <f>(AL44-AL45)/(1-AL45)</f>
        <v>0.39560439560439559</v>
      </c>
      <c r="AN44" s="44"/>
    </row>
    <row r="45" spans="1:40" ht="21">
      <c r="B45" s="126"/>
      <c r="C45" s="126"/>
      <c r="D45" s="126"/>
      <c r="E45" s="126"/>
      <c r="F45" s="126"/>
      <c r="G45" s="126"/>
      <c r="H45" s="126"/>
      <c r="I45" s="134"/>
      <c r="J45" s="135"/>
      <c r="K45" s="134"/>
      <c r="L45" s="137"/>
      <c r="AB45" s="59"/>
      <c r="AC45" s="187"/>
      <c r="AD45" s="115"/>
      <c r="AE45" s="115"/>
      <c r="AF45" s="115"/>
      <c r="AG45" s="115"/>
      <c r="AH45" s="115"/>
      <c r="AK45" t="s">
        <v>111</v>
      </c>
      <c r="AL45" s="103">
        <f>AK42/AK43</f>
        <v>0.15768595041322314</v>
      </c>
      <c r="AM45" s="101"/>
    </row>
    <row r="46" spans="1:40" ht="21">
      <c r="B46" s="126"/>
      <c r="C46" s="126"/>
      <c r="D46" s="126"/>
      <c r="E46" s="126"/>
      <c r="F46" s="126"/>
      <c r="G46" s="126"/>
      <c r="H46" s="126"/>
      <c r="I46" s="137"/>
      <c r="J46" s="134"/>
      <c r="K46" s="135"/>
      <c r="AC46" s="126"/>
      <c r="AD46" s="126"/>
      <c r="AE46" s="126"/>
      <c r="AF46" s="126"/>
      <c r="AG46" s="126"/>
      <c r="AH46" s="126"/>
      <c r="AI46" s="126"/>
      <c r="AJ46" s="126"/>
      <c r="AK46" s="137"/>
      <c r="AL46" s="137"/>
      <c r="AM46" s="137"/>
    </row>
    <row r="47" spans="1:40" ht="21">
      <c r="B47" s="126"/>
      <c r="C47" s="126"/>
      <c r="D47" s="126"/>
      <c r="E47" s="126"/>
      <c r="F47" s="126"/>
      <c r="G47" s="126"/>
      <c r="H47" s="126"/>
      <c r="I47" s="137"/>
      <c r="J47" s="138"/>
      <c r="K47" s="139"/>
      <c r="AC47" s="126"/>
      <c r="AD47" s="126"/>
      <c r="AE47" s="126"/>
      <c r="AF47" s="126"/>
      <c r="AG47" s="126"/>
      <c r="AH47" s="126"/>
      <c r="AI47" s="126"/>
      <c r="AJ47" s="126"/>
      <c r="AK47" s="137"/>
      <c r="AL47" s="137"/>
      <c r="AM47" s="137"/>
    </row>
    <row r="48" spans="1:40" ht="21">
      <c r="A48" s="191" t="s">
        <v>117</v>
      </c>
      <c r="B48" s="191"/>
      <c r="C48" s="191"/>
      <c r="D48" s="191"/>
      <c r="E48" s="191"/>
      <c r="F48" s="191"/>
      <c r="G48" s="191"/>
      <c r="H48" s="191"/>
      <c r="I48" s="191"/>
      <c r="J48" s="191"/>
      <c r="K48" s="191"/>
      <c r="P48" s="191" t="s">
        <v>118</v>
      </c>
      <c r="Q48" s="191"/>
      <c r="R48" s="191"/>
      <c r="S48" s="191"/>
      <c r="T48" s="191"/>
      <c r="U48" s="191"/>
      <c r="V48" s="191"/>
      <c r="W48" s="191"/>
      <c r="X48" s="191"/>
      <c r="Y48" s="191"/>
      <c r="AB48" s="191" t="s">
        <v>118</v>
      </c>
      <c r="AC48" s="191"/>
      <c r="AD48" s="191"/>
      <c r="AE48" s="191"/>
      <c r="AF48" s="191"/>
      <c r="AG48" s="191"/>
      <c r="AH48" s="191"/>
      <c r="AI48" s="191"/>
      <c r="AJ48" s="191"/>
      <c r="AK48" s="191"/>
      <c r="AL48" s="191"/>
      <c r="AM48" s="5"/>
      <c r="AN48" s="5"/>
    </row>
    <row r="49" spans="1:40" ht="21">
      <c r="A49" s="5"/>
      <c r="B49" s="5"/>
      <c r="C49" s="5"/>
      <c r="D49" s="5"/>
      <c r="E49" s="5"/>
      <c r="F49" s="5"/>
      <c r="G49" s="5"/>
      <c r="H49" s="5"/>
      <c r="I49" s="5"/>
      <c r="J49" s="4"/>
      <c r="K49" s="5"/>
      <c r="P49" s="5"/>
      <c r="Q49" s="5"/>
      <c r="R49" s="5"/>
      <c r="S49" s="5"/>
      <c r="T49" s="5"/>
      <c r="U49" s="5"/>
      <c r="V49" s="5"/>
      <c r="W49" s="5"/>
      <c r="X49" s="5"/>
      <c r="Y49" s="5"/>
      <c r="AB49" s="5"/>
      <c r="AC49" s="5"/>
      <c r="AD49" s="5"/>
      <c r="AE49" s="5"/>
      <c r="AF49" s="5"/>
      <c r="AG49" s="5"/>
      <c r="AH49" s="5"/>
      <c r="AI49" s="5"/>
      <c r="AJ49" s="5"/>
      <c r="AK49" s="5"/>
      <c r="AL49" s="5"/>
      <c r="AM49" s="5"/>
      <c r="AN49" s="5"/>
    </row>
    <row r="50" spans="1:40" ht="17" thickBot="1">
      <c r="A50" s="188" t="s">
        <v>8</v>
      </c>
      <c r="B50" s="188"/>
      <c r="C50" s="188"/>
      <c r="D50" s="188"/>
      <c r="E50" s="188"/>
      <c r="F50" s="188"/>
      <c r="G50" s="188"/>
      <c r="H50" s="188"/>
      <c r="I50" s="188"/>
      <c r="J50" s="188"/>
      <c r="K50" s="188"/>
      <c r="P50" s="188" t="s">
        <v>8</v>
      </c>
      <c r="Q50" s="188"/>
      <c r="R50" s="188"/>
      <c r="S50" s="188"/>
      <c r="T50" s="188"/>
      <c r="U50" s="188"/>
      <c r="V50" s="188"/>
      <c r="W50" s="188"/>
      <c r="X50" s="188"/>
      <c r="Y50" s="190"/>
      <c r="AB50" s="188" t="s">
        <v>8</v>
      </c>
      <c r="AC50" s="188"/>
      <c r="AD50" s="188"/>
      <c r="AE50" s="188"/>
      <c r="AF50" s="188"/>
      <c r="AG50" s="188"/>
      <c r="AH50" s="188"/>
      <c r="AI50" s="188"/>
      <c r="AJ50" s="188"/>
      <c r="AK50" s="188"/>
      <c r="AL50" s="188"/>
      <c r="AM50" s="7"/>
    </row>
    <row r="51" spans="1:40" ht="91" thickBot="1">
      <c r="A51" s="8" t="s">
        <v>119</v>
      </c>
      <c r="B51" s="9" t="s">
        <v>10</v>
      </c>
      <c r="C51" s="9" t="s">
        <v>11</v>
      </c>
      <c r="D51" s="9" t="s">
        <v>12</v>
      </c>
      <c r="E51" s="9" t="s">
        <v>13</v>
      </c>
      <c r="F51" s="9" t="s">
        <v>14</v>
      </c>
      <c r="G51" s="9" t="s">
        <v>15</v>
      </c>
      <c r="H51" s="9" t="s">
        <v>16</v>
      </c>
      <c r="I51" s="10" t="s">
        <v>17</v>
      </c>
      <c r="J51" s="11" t="s">
        <v>18</v>
      </c>
      <c r="K51" s="12" t="s">
        <v>19</v>
      </c>
      <c r="P51" s="8" t="s">
        <v>120</v>
      </c>
      <c r="Q51" s="9" t="s">
        <v>10</v>
      </c>
      <c r="R51" s="9" t="s">
        <v>11</v>
      </c>
      <c r="S51" s="9" t="s">
        <v>21</v>
      </c>
      <c r="T51" s="9" t="s">
        <v>22</v>
      </c>
      <c r="U51" s="9" t="s">
        <v>16</v>
      </c>
      <c r="V51" s="10" t="s">
        <v>17</v>
      </c>
      <c r="W51" s="15" t="s">
        <v>18</v>
      </c>
      <c r="X51" s="12" t="s">
        <v>19</v>
      </c>
      <c r="Y51" s="16"/>
      <c r="AB51" s="8" t="s">
        <v>121</v>
      </c>
      <c r="AC51" s="17" t="s">
        <v>24</v>
      </c>
      <c r="AD51" s="17" t="s">
        <v>25</v>
      </c>
      <c r="AE51" s="17" t="s">
        <v>26</v>
      </c>
      <c r="AF51" s="17" t="s">
        <v>27</v>
      </c>
      <c r="AG51" s="17" t="s">
        <v>28</v>
      </c>
      <c r="AH51" s="17" t="s">
        <v>29</v>
      </c>
      <c r="AI51" s="17" t="s">
        <v>30</v>
      </c>
      <c r="AJ51" s="17" t="s">
        <v>16</v>
      </c>
      <c r="AK51" s="18" t="s">
        <v>17</v>
      </c>
      <c r="AL51" s="18" t="s">
        <v>18</v>
      </c>
      <c r="AM51" s="19" t="s">
        <v>19</v>
      </c>
    </row>
    <row r="52" spans="1:40" ht="56">
      <c r="A52" s="20" t="s">
        <v>10</v>
      </c>
      <c r="B52" s="13"/>
      <c r="C52" s="13">
        <v>8</v>
      </c>
      <c r="D52" s="13"/>
      <c r="E52" s="13">
        <v>5</v>
      </c>
      <c r="F52" s="13"/>
      <c r="G52" s="13"/>
      <c r="H52" s="13"/>
      <c r="I52" s="21">
        <f t="shared" ref="I52:I59" si="32">SUM(B52:H52)</f>
        <v>13</v>
      </c>
      <c r="J52" s="22">
        <f t="shared" ref="J52:J58" si="33">1-K52</f>
        <v>1</v>
      </c>
      <c r="K52" s="23">
        <f t="shared" ref="K52:K55" si="34">H52/I52</f>
        <v>0</v>
      </c>
      <c r="P52" s="20" t="s">
        <v>10</v>
      </c>
      <c r="Q52" s="13"/>
      <c r="R52" s="13">
        <v>7</v>
      </c>
      <c r="S52" s="13">
        <v>5</v>
      </c>
      <c r="T52" s="13"/>
      <c r="U52" s="13">
        <v>1</v>
      </c>
      <c r="V52" s="21">
        <f t="shared" ref="V52:V57" si="35">SUM(Q52:U52)</f>
        <v>13</v>
      </c>
      <c r="W52" s="25">
        <f>1-X52</f>
        <v>1</v>
      </c>
      <c r="X52" s="23">
        <f>Q52/V52</f>
        <v>0</v>
      </c>
      <c r="Y52" s="21"/>
      <c r="AB52" s="26" t="s">
        <v>24</v>
      </c>
      <c r="AC52" s="27"/>
      <c r="AD52" s="28"/>
      <c r="AE52" s="28"/>
      <c r="AF52" s="28"/>
      <c r="AG52" s="28"/>
      <c r="AH52" s="28"/>
      <c r="AI52" s="28"/>
      <c r="AK52" s="29">
        <f t="shared" ref="AK52:AK58" si="36">SUM(AC52:AI52)</f>
        <v>0</v>
      </c>
      <c r="AL52" s="25">
        <f t="shared" ref="AL52:AL59" si="37">1-AM52</f>
        <v>0</v>
      </c>
      <c r="AM52" s="23">
        <v>1</v>
      </c>
    </row>
    <row r="53" spans="1:40" ht="45">
      <c r="A53" s="20" t="s">
        <v>11</v>
      </c>
      <c r="B53" s="13"/>
      <c r="C53" s="13"/>
      <c r="D53" s="13"/>
      <c r="E53" s="13"/>
      <c r="F53" s="13"/>
      <c r="G53" s="13"/>
      <c r="H53" s="13"/>
      <c r="I53" s="21">
        <f t="shared" si="32"/>
        <v>0</v>
      </c>
      <c r="J53" s="22">
        <f t="shared" si="33"/>
        <v>0</v>
      </c>
      <c r="K53" s="23">
        <v>1</v>
      </c>
      <c r="P53" s="20" t="s">
        <v>11</v>
      </c>
      <c r="Q53" s="13"/>
      <c r="R53" s="13"/>
      <c r="S53" s="13"/>
      <c r="T53" s="13"/>
      <c r="U53" s="13"/>
      <c r="V53" s="21">
        <f t="shared" si="35"/>
        <v>0</v>
      </c>
      <c r="W53" s="25">
        <f t="shared" ref="W53:W56" si="38">1-X53</f>
        <v>0</v>
      </c>
      <c r="X53" s="23">
        <v>1</v>
      </c>
      <c r="Y53" s="21"/>
      <c r="AB53" s="32" t="s">
        <v>25</v>
      </c>
      <c r="AC53" s="16"/>
      <c r="AD53" s="13"/>
      <c r="AE53" s="13"/>
      <c r="AF53" s="13"/>
      <c r="AG53" s="13"/>
      <c r="AH53" s="13"/>
      <c r="AI53" s="13"/>
      <c r="AK53" s="21">
        <f t="shared" si="36"/>
        <v>0</v>
      </c>
      <c r="AL53" s="25">
        <f t="shared" si="37"/>
        <v>0</v>
      </c>
      <c r="AM53" s="23">
        <v>1</v>
      </c>
    </row>
    <row r="54" spans="1:40" ht="60">
      <c r="A54" s="20" t="s">
        <v>12</v>
      </c>
      <c r="B54" s="13"/>
      <c r="C54" s="13"/>
      <c r="D54" s="13"/>
      <c r="E54" s="13"/>
      <c r="F54" s="13"/>
      <c r="G54" s="13"/>
      <c r="H54" s="13"/>
      <c r="I54" s="21">
        <f t="shared" si="32"/>
        <v>0</v>
      </c>
      <c r="J54" s="22">
        <f t="shared" si="33"/>
        <v>0</v>
      </c>
      <c r="K54" s="23">
        <v>1</v>
      </c>
      <c r="P54" s="20" t="s">
        <v>21</v>
      </c>
      <c r="Q54" s="13"/>
      <c r="R54" s="13"/>
      <c r="S54" s="13">
        <v>1</v>
      </c>
      <c r="T54" s="13"/>
      <c r="U54" s="13"/>
      <c r="V54" s="21">
        <f t="shared" si="35"/>
        <v>1</v>
      </c>
      <c r="W54" s="25">
        <f t="shared" si="38"/>
        <v>0</v>
      </c>
      <c r="X54" s="23">
        <f>S54/V54</f>
        <v>1</v>
      </c>
      <c r="Y54" s="21"/>
      <c r="AB54" s="32" t="s">
        <v>26</v>
      </c>
      <c r="AC54" s="16"/>
      <c r="AD54" s="13"/>
      <c r="AE54" s="13">
        <v>1</v>
      </c>
      <c r="AF54" s="13"/>
      <c r="AG54" s="13"/>
      <c r="AH54" s="13"/>
      <c r="AI54" s="13"/>
      <c r="AK54" s="21">
        <f t="shared" si="36"/>
        <v>1</v>
      </c>
      <c r="AL54" s="25">
        <f t="shared" si="37"/>
        <v>1</v>
      </c>
      <c r="AM54" s="23">
        <f t="shared" ref="AM54:AM58" si="39">AJ54/AK54</f>
        <v>0</v>
      </c>
    </row>
    <row r="55" spans="1:40" ht="45">
      <c r="A55" s="20" t="s">
        <v>13</v>
      </c>
      <c r="B55" s="13"/>
      <c r="C55" s="13"/>
      <c r="D55" s="13"/>
      <c r="E55" s="13">
        <v>2</v>
      </c>
      <c r="F55" s="13"/>
      <c r="G55" s="13"/>
      <c r="H55" s="13"/>
      <c r="I55" s="21">
        <f t="shared" si="32"/>
        <v>2</v>
      </c>
      <c r="J55" s="22">
        <f t="shared" si="33"/>
        <v>1</v>
      </c>
      <c r="K55" s="23">
        <f t="shared" si="34"/>
        <v>0</v>
      </c>
      <c r="P55" s="20" t="s">
        <v>22</v>
      </c>
      <c r="Q55" s="13"/>
      <c r="R55" s="13"/>
      <c r="S55" s="13"/>
      <c r="T55" s="13"/>
      <c r="U55" s="13"/>
      <c r="V55" s="21">
        <f t="shared" si="35"/>
        <v>0</v>
      </c>
      <c r="W55" s="25">
        <f t="shared" si="38"/>
        <v>0</v>
      </c>
      <c r="X55" s="23">
        <v>1</v>
      </c>
      <c r="Y55" s="21"/>
      <c r="AB55" s="32" t="s">
        <v>27</v>
      </c>
      <c r="AC55" s="16"/>
      <c r="AD55" s="13"/>
      <c r="AE55" s="13"/>
      <c r="AF55" s="13">
        <v>3</v>
      </c>
      <c r="AG55" s="13"/>
      <c r="AH55" s="13"/>
      <c r="AI55" s="13"/>
      <c r="AK55" s="21">
        <f t="shared" si="36"/>
        <v>3</v>
      </c>
      <c r="AL55" s="25">
        <f t="shared" si="37"/>
        <v>1</v>
      </c>
      <c r="AM55" s="23">
        <f t="shared" si="39"/>
        <v>0</v>
      </c>
    </row>
    <row r="56" spans="1:40" ht="45">
      <c r="A56" s="20" t="s">
        <v>14</v>
      </c>
      <c r="B56" s="13"/>
      <c r="C56" s="13"/>
      <c r="D56" s="13"/>
      <c r="E56" s="13"/>
      <c r="F56" s="13"/>
      <c r="G56" s="13"/>
      <c r="H56" s="13"/>
      <c r="I56" s="21">
        <f t="shared" si="32"/>
        <v>0</v>
      </c>
      <c r="J56" s="22">
        <f t="shared" si="33"/>
        <v>0</v>
      </c>
      <c r="K56" s="23">
        <v>1</v>
      </c>
      <c r="P56" s="20" t="s">
        <v>16</v>
      </c>
      <c r="Q56" s="13"/>
      <c r="R56" s="13"/>
      <c r="S56" s="13">
        <v>2</v>
      </c>
      <c r="T56" s="13"/>
      <c r="U56" s="13"/>
      <c r="V56" s="21">
        <f t="shared" si="35"/>
        <v>2</v>
      </c>
      <c r="W56" s="25">
        <f t="shared" si="38"/>
        <v>1</v>
      </c>
      <c r="X56" s="23">
        <f>U56/V56</f>
        <v>0</v>
      </c>
      <c r="Y56" s="21"/>
      <c r="AB56" s="32" t="s">
        <v>28</v>
      </c>
      <c r="AC56" s="16"/>
      <c r="AD56" s="13"/>
      <c r="AE56" s="13"/>
      <c r="AF56" s="13"/>
      <c r="AG56" s="13"/>
      <c r="AH56" s="13"/>
      <c r="AI56" s="13"/>
      <c r="AK56" s="21">
        <f t="shared" si="36"/>
        <v>0</v>
      </c>
      <c r="AL56" s="25">
        <f t="shared" si="37"/>
        <v>0</v>
      </c>
      <c r="AM56" s="23">
        <v>1</v>
      </c>
    </row>
    <row r="57" spans="1:40" ht="45">
      <c r="A57" s="20" t="s">
        <v>15</v>
      </c>
      <c r="B57" s="13"/>
      <c r="C57" s="13"/>
      <c r="D57" s="13"/>
      <c r="E57" s="13"/>
      <c r="F57" s="13"/>
      <c r="G57" s="13"/>
      <c r="H57" s="13"/>
      <c r="I57" s="21">
        <f t="shared" si="32"/>
        <v>0</v>
      </c>
      <c r="J57" s="22">
        <f t="shared" si="33"/>
        <v>0</v>
      </c>
      <c r="K57" s="23">
        <v>1</v>
      </c>
      <c r="P57" s="33" t="s">
        <v>17</v>
      </c>
      <c r="Q57" s="21">
        <f>SUM(Q52:Q56)</f>
        <v>0</v>
      </c>
      <c r="R57" s="21">
        <f>SUM(R52:R56)</f>
        <v>7</v>
      </c>
      <c r="S57" s="21">
        <f>SUM(S52:S56)</f>
        <v>8</v>
      </c>
      <c r="T57" s="21">
        <f>SUM(T52:T56)</f>
        <v>0</v>
      </c>
      <c r="U57" s="21">
        <f>SUM(U52:U56)</f>
        <v>1</v>
      </c>
      <c r="V57" s="21">
        <f t="shared" si="35"/>
        <v>16</v>
      </c>
      <c r="W57" s="21"/>
      <c r="X57" s="34"/>
      <c r="Y57" s="21"/>
      <c r="AB57" s="32" t="s">
        <v>29</v>
      </c>
      <c r="AC57" s="16"/>
      <c r="AD57" s="13"/>
      <c r="AE57" s="13"/>
      <c r="AF57" s="13"/>
      <c r="AG57" s="13"/>
      <c r="AH57" s="13"/>
      <c r="AI57" s="13"/>
      <c r="AK57" s="21">
        <f t="shared" si="36"/>
        <v>0</v>
      </c>
      <c r="AL57" s="25">
        <f t="shared" si="37"/>
        <v>0</v>
      </c>
      <c r="AM57" s="23">
        <v>1</v>
      </c>
    </row>
    <row r="58" spans="1:40" ht="45">
      <c r="A58" s="20" t="s">
        <v>16</v>
      </c>
      <c r="B58" s="13"/>
      <c r="C58" s="13"/>
      <c r="D58" s="13"/>
      <c r="E58" s="13">
        <v>1</v>
      </c>
      <c r="F58" s="13"/>
      <c r="G58" s="13"/>
      <c r="H58" s="13"/>
      <c r="I58" s="21">
        <f t="shared" si="32"/>
        <v>1</v>
      </c>
      <c r="J58" s="22">
        <f t="shared" si="33"/>
        <v>1</v>
      </c>
      <c r="K58" s="23">
        <f>H58/I58</f>
        <v>0</v>
      </c>
      <c r="P58" s="33" t="s">
        <v>31</v>
      </c>
      <c r="Q58" s="25">
        <f>1-Q59</f>
        <v>0</v>
      </c>
      <c r="R58" s="25">
        <f t="shared" ref="R58:U58" si="40">1-R59</f>
        <v>1</v>
      </c>
      <c r="S58" s="25">
        <f t="shared" si="40"/>
        <v>0.875</v>
      </c>
      <c r="T58" s="25">
        <f t="shared" si="40"/>
        <v>0</v>
      </c>
      <c r="U58" s="25">
        <f t="shared" si="40"/>
        <v>1</v>
      </c>
      <c r="V58" s="13"/>
      <c r="W58" s="35" t="s">
        <v>32</v>
      </c>
      <c r="X58" s="36">
        <f>X63</f>
        <v>2.4390243902439025E-2</v>
      </c>
      <c r="Y58" s="21"/>
      <c r="AB58" s="32" t="s">
        <v>30</v>
      </c>
      <c r="AC58" s="16"/>
      <c r="AD58" s="13"/>
      <c r="AE58" s="13"/>
      <c r="AF58" s="13"/>
      <c r="AG58" s="13">
        <v>1</v>
      </c>
      <c r="AH58" s="13"/>
      <c r="AI58" s="13">
        <v>11</v>
      </c>
      <c r="AK58" s="21">
        <f t="shared" si="36"/>
        <v>12</v>
      </c>
      <c r="AL58" s="25">
        <f t="shared" si="37"/>
        <v>1</v>
      </c>
      <c r="AM58" s="23">
        <f t="shared" si="39"/>
        <v>0</v>
      </c>
    </row>
    <row r="59" spans="1:40" ht="33" thickBot="1">
      <c r="A59" s="33" t="s">
        <v>17</v>
      </c>
      <c r="B59" s="21">
        <f t="shared" ref="B59:H59" si="41">SUM(B52:B58)</f>
        <v>0</v>
      </c>
      <c r="C59" s="21">
        <f t="shared" si="41"/>
        <v>8</v>
      </c>
      <c r="D59" s="21">
        <f t="shared" si="41"/>
        <v>0</v>
      </c>
      <c r="E59" s="21">
        <f t="shared" si="41"/>
        <v>8</v>
      </c>
      <c r="F59" s="21">
        <f t="shared" si="41"/>
        <v>0</v>
      </c>
      <c r="G59" s="21">
        <f t="shared" si="41"/>
        <v>0</v>
      </c>
      <c r="H59" s="21">
        <f t="shared" si="41"/>
        <v>0</v>
      </c>
      <c r="I59" s="21">
        <f t="shared" si="32"/>
        <v>16</v>
      </c>
      <c r="J59" s="37"/>
      <c r="K59" s="34"/>
      <c r="P59" s="38" t="s">
        <v>33</v>
      </c>
      <c r="Q59" s="40">
        <v>1</v>
      </c>
      <c r="R59" s="40">
        <f t="shared" ref="R59" si="42">R54/R57</f>
        <v>0</v>
      </c>
      <c r="S59" s="40">
        <f>S54/S57</f>
        <v>0.125</v>
      </c>
      <c r="T59" s="40">
        <v>1</v>
      </c>
      <c r="U59" s="40">
        <f>U55/U57</f>
        <v>0</v>
      </c>
      <c r="V59" s="41"/>
      <c r="W59" s="42" t="s">
        <v>34</v>
      </c>
      <c r="X59" s="43">
        <f>Y60</f>
        <v>6.25E-2</v>
      </c>
      <c r="Y59" s="44"/>
      <c r="AB59" s="60" t="s">
        <v>16</v>
      </c>
      <c r="AC59" s="16"/>
      <c r="AK59" s="21">
        <f>SUM(AC59:AJ59)</f>
        <v>0</v>
      </c>
      <c r="AL59" s="25">
        <f t="shared" si="37"/>
        <v>0</v>
      </c>
      <c r="AM59" s="23">
        <v>1</v>
      </c>
    </row>
    <row r="60" spans="1:40" ht="28">
      <c r="A60" s="33" t="s">
        <v>31</v>
      </c>
      <c r="B60" s="48">
        <f>1-B61</f>
        <v>0</v>
      </c>
      <c r="C60" s="48">
        <f t="shared" ref="C60:H60" si="43">1-C61</f>
        <v>0</v>
      </c>
      <c r="D60" s="48">
        <f t="shared" si="43"/>
        <v>0</v>
      </c>
      <c r="E60" s="48">
        <f t="shared" si="43"/>
        <v>0.75</v>
      </c>
      <c r="F60" s="48">
        <f t="shared" si="43"/>
        <v>0</v>
      </c>
      <c r="G60" s="48">
        <f t="shared" si="43"/>
        <v>0</v>
      </c>
      <c r="H60" s="48">
        <f t="shared" si="43"/>
        <v>0</v>
      </c>
      <c r="I60" s="13"/>
      <c r="J60" s="35" t="s">
        <v>32</v>
      </c>
      <c r="K60" s="36">
        <f>K65</f>
        <v>6.6666666666666666E-2</v>
      </c>
      <c r="P60" s="129" t="s">
        <v>136</v>
      </c>
      <c r="W60" s="4"/>
      <c r="Y60" s="50">
        <f>SUM(Q52,R53,S54,T55,U56)/V57</f>
        <v>6.25E-2</v>
      </c>
      <c r="AB60" s="33" t="s">
        <v>17</v>
      </c>
      <c r="AC60" s="21">
        <f t="shared" ref="AC60:AI60" si="44">SUM(AC52:AC59)</f>
        <v>0</v>
      </c>
      <c r="AD60" s="21">
        <f t="shared" si="44"/>
        <v>0</v>
      </c>
      <c r="AE60" s="21">
        <f t="shared" si="44"/>
        <v>1</v>
      </c>
      <c r="AF60" s="21">
        <f t="shared" si="44"/>
        <v>3</v>
      </c>
      <c r="AG60" s="21">
        <f t="shared" si="44"/>
        <v>1</v>
      </c>
      <c r="AH60" s="21">
        <f t="shared" si="44"/>
        <v>0</v>
      </c>
      <c r="AI60" s="21">
        <f t="shared" si="44"/>
        <v>11</v>
      </c>
      <c r="AJ60" s="21">
        <f>SUM(AJ52:AJ59)</f>
        <v>0</v>
      </c>
      <c r="AK60" s="21">
        <f>SUM(AC60:AJ60)</f>
        <v>16</v>
      </c>
      <c r="AM60" s="51"/>
    </row>
    <row r="61" spans="1:40" ht="33" thickBot="1">
      <c r="A61" s="38" t="s">
        <v>33</v>
      </c>
      <c r="B61" s="105">
        <v>1</v>
      </c>
      <c r="C61" s="106">
        <v>1</v>
      </c>
      <c r="D61" s="107">
        <v>1</v>
      </c>
      <c r="E61" s="107">
        <f>E55/E59</f>
        <v>0.25</v>
      </c>
      <c r="F61" s="107">
        <v>1</v>
      </c>
      <c r="G61" s="106">
        <v>1</v>
      </c>
      <c r="H61" s="105">
        <v>1</v>
      </c>
      <c r="I61" s="41"/>
      <c r="J61" s="42" t="s">
        <v>34</v>
      </c>
      <c r="K61" s="43">
        <f>L62</f>
        <v>0.125</v>
      </c>
      <c r="P61" s="141" t="s">
        <v>135</v>
      </c>
      <c r="Q61" s="122">
        <f>Q57*V52</f>
        <v>0</v>
      </c>
      <c r="R61" s="122">
        <f>R57*V53</f>
        <v>0</v>
      </c>
      <c r="S61" s="122">
        <f>S57*V54</f>
        <v>8</v>
      </c>
      <c r="T61" s="122">
        <f>T57*V55</f>
        <v>0</v>
      </c>
      <c r="U61" s="122">
        <f>U57*V56</f>
        <v>2</v>
      </c>
      <c r="V61" s="123">
        <f>SUM(Q61:U61)</f>
        <v>10</v>
      </c>
      <c r="W61" s="128"/>
      <c r="X61" s="123"/>
      <c r="Y61" s="44"/>
      <c r="AB61" s="33" t="s">
        <v>35</v>
      </c>
      <c r="AC61" s="53">
        <f>1-AC62</f>
        <v>0</v>
      </c>
      <c r="AD61" s="54">
        <f>1-AD62</f>
        <v>0</v>
      </c>
      <c r="AE61" s="54">
        <f t="shared" ref="AE61:AJ61" si="45">1-AE62</f>
        <v>0</v>
      </c>
      <c r="AF61" s="54">
        <f t="shared" si="45"/>
        <v>0</v>
      </c>
      <c r="AG61" s="54">
        <f t="shared" si="45"/>
        <v>1</v>
      </c>
      <c r="AH61" s="54">
        <f t="shared" si="45"/>
        <v>0</v>
      </c>
      <c r="AI61" s="54">
        <f t="shared" si="45"/>
        <v>1</v>
      </c>
      <c r="AJ61" s="54">
        <f t="shared" si="45"/>
        <v>0</v>
      </c>
      <c r="AL61" s="35" t="s">
        <v>32</v>
      </c>
      <c r="AM61" s="36">
        <f>AM66</f>
        <v>0.85964912280701755</v>
      </c>
    </row>
    <row r="62" spans="1:40" ht="33" thickBot="1">
      <c r="A62" s="129" t="s">
        <v>136</v>
      </c>
      <c r="J62" s="4"/>
      <c r="L62" s="50">
        <f>SUM(B52,C53,D54,E55,F56,G57,H58)/I59</f>
        <v>0.125</v>
      </c>
      <c r="P62" s="142" t="s">
        <v>134</v>
      </c>
      <c r="Q62" s="124">
        <f>(Q57*$V52)+(Q57*$V53)+(Q57*$V54)+(Q57*$V55)+(Q57*$V56)</f>
        <v>0</v>
      </c>
      <c r="R62" s="124">
        <f t="shared" ref="R62:U62" si="46">(R57*$V52)+(R57*$V53)+(R57*$V54)+(R57*$V55)+(R57*$V56)</f>
        <v>112</v>
      </c>
      <c r="S62" s="124">
        <f t="shared" si="46"/>
        <v>128</v>
      </c>
      <c r="T62" s="124">
        <f t="shared" si="46"/>
        <v>0</v>
      </c>
      <c r="U62" s="124">
        <f t="shared" si="46"/>
        <v>16</v>
      </c>
      <c r="V62" s="125">
        <f>SUM(Q62:U62)</f>
        <v>256</v>
      </c>
      <c r="W62" s="127"/>
      <c r="X62" s="125" t="s">
        <v>32</v>
      </c>
      <c r="Y62" s="44"/>
      <c r="AB62" s="38" t="s">
        <v>33</v>
      </c>
      <c r="AC62" s="56">
        <v>1</v>
      </c>
      <c r="AD62" s="57">
        <v>1</v>
      </c>
      <c r="AE62" s="57">
        <f>AE54/AE60</f>
        <v>1</v>
      </c>
      <c r="AF62" s="57">
        <f>AF55/AF60</f>
        <v>1</v>
      </c>
      <c r="AG62" s="57">
        <f t="shared" ref="AG62:AI62" si="47">AG55/AG60</f>
        <v>0</v>
      </c>
      <c r="AH62" s="57">
        <v>1</v>
      </c>
      <c r="AI62" s="57">
        <f t="shared" si="47"/>
        <v>0</v>
      </c>
      <c r="AJ62" s="57">
        <v>1</v>
      </c>
      <c r="AK62" s="41"/>
      <c r="AL62" s="42" t="s">
        <v>34</v>
      </c>
      <c r="AM62" s="43">
        <f>AN63</f>
        <v>0.9375</v>
      </c>
    </row>
    <row r="63" spans="1:40" ht="29" thickTop="1">
      <c r="A63" s="130" t="s">
        <v>135</v>
      </c>
      <c r="B63" s="122">
        <f>B59*I52</f>
        <v>0</v>
      </c>
      <c r="C63" s="122">
        <f>C59*I53</f>
        <v>0</v>
      </c>
      <c r="D63" s="122">
        <f>D59*I54</f>
        <v>0</v>
      </c>
      <c r="E63" s="122">
        <f>E59*I55</f>
        <v>16</v>
      </c>
      <c r="F63" s="122">
        <f>F59*I56</f>
        <v>0</v>
      </c>
      <c r="G63" s="122">
        <f>G59*I57</f>
        <v>0</v>
      </c>
      <c r="H63" s="122">
        <f>H59*I58</f>
        <v>0</v>
      </c>
      <c r="I63" s="123">
        <f>SUM(B63:H63)</f>
        <v>16</v>
      </c>
      <c r="J63" s="128"/>
      <c r="K63" s="123"/>
      <c r="L63" s="44"/>
      <c r="P63" s="13"/>
      <c r="Q63" s="115"/>
      <c r="R63" s="115"/>
      <c r="S63" s="115"/>
      <c r="T63" s="115"/>
      <c r="U63" s="115"/>
      <c r="V63" t="s">
        <v>110</v>
      </c>
      <c r="W63" s="102">
        <f>Y60</f>
        <v>6.25E-2</v>
      </c>
      <c r="X63" s="104">
        <f>(W63-W64)/(1-W64)</f>
        <v>2.4390243902439025E-2</v>
      </c>
      <c r="Y63" s="44"/>
      <c r="AB63" s="129" t="s">
        <v>136</v>
      </c>
      <c r="AL63" s="4"/>
      <c r="AN63" s="50">
        <f>SUM(AC52,AD53,AE54,AF55,AG56,AH57,AI58,AJ59)/AK60</f>
        <v>0.9375</v>
      </c>
    </row>
    <row r="64" spans="1:40" ht="43" thickBot="1">
      <c r="A64" s="131" t="s">
        <v>134</v>
      </c>
      <c r="B64" s="124">
        <f>(B59*$I52)+(B59*$I53)+(B59*$I54)+(B59*$I55)+(B59*$I56)+(B59*$I57)+(B59*$I58)</f>
        <v>0</v>
      </c>
      <c r="C64" s="124">
        <f t="shared" ref="C64:I64" si="48">(C59*$I52)+(C59*$I53)+(C59*$I54)+(C59*$I55)+(C59*$I56)+(C59*$I57)+(C59*$I58)</f>
        <v>128</v>
      </c>
      <c r="D64" s="124">
        <f t="shared" si="48"/>
        <v>0</v>
      </c>
      <c r="E64" s="124">
        <f t="shared" si="48"/>
        <v>128</v>
      </c>
      <c r="F64" s="124">
        <f t="shared" si="48"/>
        <v>0</v>
      </c>
      <c r="G64" s="124">
        <f t="shared" si="48"/>
        <v>0</v>
      </c>
      <c r="H64" s="124">
        <f>(H59*$I52)+(H59*$I53)+(H59*$I54)+(H59*$I55)+(H59*$I56)+(H59*$I57)+(H59*$I58)</f>
        <v>0</v>
      </c>
      <c r="I64" s="125">
        <f>SUM(B64:H64)</f>
        <v>256</v>
      </c>
      <c r="J64" s="127"/>
      <c r="K64" s="125" t="s">
        <v>32</v>
      </c>
      <c r="L64" s="44"/>
      <c r="P64" s="187"/>
      <c r="Q64" s="115"/>
      <c r="R64" s="115"/>
      <c r="S64" s="115"/>
      <c r="T64" s="115"/>
      <c r="U64" s="115"/>
      <c r="V64" t="s">
        <v>111</v>
      </c>
      <c r="W64" s="103">
        <f>V61/V62</f>
        <v>3.90625E-2</v>
      </c>
      <c r="X64" s="101"/>
      <c r="AB64" s="141" t="s">
        <v>135</v>
      </c>
      <c r="AC64" s="122">
        <f>AC60*AK52</f>
        <v>0</v>
      </c>
      <c r="AD64" s="122">
        <f>AD60*AK53</f>
        <v>0</v>
      </c>
      <c r="AE64" s="122">
        <f>AE60*AK54</f>
        <v>1</v>
      </c>
      <c r="AF64" s="122">
        <f>AF60*AK55</f>
        <v>9</v>
      </c>
      <c r="AG64" s="122">
        <f>AG60*AK56</f>
        <v>0</v>
      </c>
      <c r="AH64" s="122">
        <f>AH60*AK57</f>
        <v>0</v>
      </c>
      <c r="AI64" s="122">
        <f>AI60*AK58</f>
        <v>132</v>
      </c>
      <c r="AJ64" s="122">
        <f>AJ60*AK59</f>
        <v>0</v>
      </c>
      <c r="AK64" s="123">
        <f>SUM(AC64:AJ64)</f>
        <v>142</v>
      </c>
      <c r="AL64" s="128"/>
      <c r="AM64" s="123"/>
      <c r="AN64" s="44"/>
    </row>
    <row r="65" spans="1:40" ht="30" thickTop="1" thickBot="1">
      <c r="A65" s="13"/>
      <c r="B65" s="115"/>
      <c r="C65" s="115"/>
      <c r="D65" s="115"/>
      <c r="E65" s="115"/>
      <c r="F65" s="115"/>
      <c r="G65" s="115"/>
      <c r="H65" s="115"/>
      <c r="I65" t="s">
        <v>110</v>
      </c>
      <c r="J65" s="102">
        <f>L62</f>
        <v>0.125</v>
      </c>
      <c r="K65" s="104">
        <f>(J65-J66)/(1-J66)</f>
        <v>6.6666666666666666E-2</v>
      </c>
      <c r="L65" s="44"/>
      <c r="Q65" s="100"/>
      <c r="R65" s="100"/>
      <c r="S65" s="100"/>
      <c r="T65" s="100"/>
      <c r="U65" s="100"/>
      <c r="V65" s="111"/>
      <c r="W65" s="132"/>
      <c r="X65" s="133"/>
      <c r="AB65" s="142" t="s">
        <v>134</v>
      </c>
      <c r="AC65" s="124">
        <f>(AC60*$AK52)+(AC60*$AK53)+(AC60*$AK54)+(AC60*$AK55)+(AC60*$AK56)+(AC60*$AK57)+(AC60*$AK58)+(AC60*$AK59)</f>
        <v>0</v>
      </c>
      <c r="AD65" s="124">
        <f t="shared" ref="AD65:AJ65" si="49">(AD60*$AK52)+(AD60*$AK53)+(AD60*$AK54)+(AD60*$AK55)+(AD60*$AK56)+(AD60*$AK57)+(AD60*$AK58)+(AD60*$AK59)</f>
        <v>0</v>
      </c>
      <c r="AE65" s="124">
        <f t="shared" si="49"/>
        <v>16</v>
      </c>
      <c r="AF65" s="124">
        <f t="shared" si="49"/>
        <v>48</v>
      </c>
      <c r="AG65" s="124">
        <f t="shared" si="49"/>
        <v>16</v>
      </c>
      <c r="AH65" s="124">
        <f t="shared" si="49"/>
        <v>0</v>
      </c>
      <c r="AI65" s="124">
        <f t="shared" si="49"/>
        <v>176</v>
      </c>
      <c r="AJ65" s="124">
        <f t="shared" si="49"/>
        <v>0</v>
      </c>
      <c r="AK65" s="125">
        <f>SUM(AC65:AJ65)</f>
        <v>256</v>
      </c>
      <c r="AL65" s="127"/>
      <c r="AM65" s="125" t="s">
        <v>32</v>
      </c>
      <c r="AN65" s="44"/>
    </row>
    <row r="66" spans="1:40" ht="22" thickTop="1">
      <c r="A66" s="187"/>
      <c r="B66" s="115"/>
      <c r="C66" s="115"/>
      <c r="D66" s="115"/>
      <c r="E66" s="115"/>
      <c r="F66" s="115"/>
      <c r="G66" s="115"/>
      <c r="H66" s="115"/>
      <c r="I66" t="s">
        <v>111</v>
      </c>
      <c r="J66" s="103">
        <f>I63/I64</f>
        <v>6.25E-2</v>
      </c>
      <c r="K66" s="101"/>
      <c r="Q66" s="100"/>
      <c r="R66" s="100"/>
      <c r="S66" s="100"/>
      <c r="T66" s="100"/>
      <c r="U66" s="100"/>
      <c r="V66" s="111"/>
      <c r="W66" s="132"/>
      <c r="X66" s="101"/>
      <c r="AB66" s="187"/>
      <c r="AC66" s="13"/>
      <c r="AD66" s="115"/>
      <c r="AE66" s="115"/>
      <c r="AF66" s="115"/>
      <c r="AG66" s="115"/>
      <c r="AH66" s="115"/>
      <c r="AK66" t="s">
        <v>110</v>
      </c>
      <c r="AL66" s="102">
        <f>AN63</f>
        <v>0.9375</v>
      </c>
      <c r="AM66" s="104">
        <f>(AL66-AL67)/(1-AL67)</f>
        <v>0.85964912280701755</v>
      </c>
      <c r="AN66" s="44"/>
    </row>
    <row r="67" spans="1:40" ht="21">
      <c r="B67" s="126"/>
      <c r="C67" s="126"/>
      <c r="D67" s="126"/>
      <c r="E67" s="126"/>
      <c r="F67" s="126"/>
      <c r="G67" s="126"/>
      <c r="H67" s="126"/>
      <c r="I67" s="134"/>
      <c r="J67" s="135"/>
      <c r="K67" s="134"/>
      <c r="L67" s="137"/>
      <c r="AB67" s="59"/>
      <c r="AC67" s="187"/>
      <c r="AD67" s="115"/>
      <c r="AE67" s="115"/>
      <c r="AF67" s="115"/>
      <c r="AG67" s="115"/>
      <c r="AH67" s="115"/>
      <c r="AK67" t="s">
        <v>111</v>
      </c>
      <c r="AL67" s="103">
        <f>AK64/AK65</f>
        <v>0.5546875</v>
      </c>
      <c r="AM67" s="101"/>
    </row>
    <row r="68" spans="1:40" ht="21">
      <c r="B68" s="126"/>
      <c r="C68" s="126"/>
      <c r="D68" s="126"/>
      <c r="E68" s="126"/>
      <c r="F68" s="126"/>
      <c r="G68" s="126"/>
      <c r="H68" s="126"/>
      <c r="I68" s="137"/>
      <c r="J68" s="134"/>
      <c r="K68" s="135"/>
      <c r="AC68" s="126"/>
      <c r="AD68" s="126"/>
      <c r="AE68" s="126"/>
      <c r="AF68" s="126"/>
      <c r="AG68" s="126"/>
      <c r="AH68" s="126"/>
      <c r="AI68" s="126"/>
      <c r="AJ68" s="126"/>
      <c r="AK68" s="137"/>
      <c r="AL68" s="137"/>
      <c r="AM68" s="137"/>
    </row>
    <row r="69" spans="1:40" ht="21">
      <c r="B69" s="126"/>
      <c r="C69" s="126"/>
      <c r="D69" s="126"/>
      <c r="E69" s="126"/>
      <c r="F69" s="126"/>
      <c r="G69" s="126"/>
      <c r="H69" s="126"/>
      <c r="I69" s="137"/>
      <c r="J69" s="138"/>
      <c r="K69" s="139"/>
      <c r="AC69" s="126"/>
      <c r="AD69" s="126"/>
      <c r="AE69" s="126"/>
      <c r="AF69" s="126"/>
      <c r="AG69" s="126"/>
      <c r="AH69" s="126"/>
      <c r="AI69" s="126"/>
      <c r="AJ69" s="126"/>
      <c r="AK69" s="137"/>
      <c r="AL69" s="137"/>
      <c r="AM69" s="137"/>
    </row>
    <row r="70" spans="1:40" ht="21">
      <c r="A70" s="191" t="s">
        <v>122</v>
      </c>
      <c r="B70" s="191"/>
      <c r="C70" s="191"/>
      <c r="D70" s="191"/>
      <c r="E70" s="191"/>
      <c r="F70" s="191"/>
      <c r="G70" s="191"/>
      <c r="H70" s="191"/>
      <c r="I70" s="191"/>
      <c r="J70" s="191"/>
      <c r="K70" s="191"/>
      <c r="P70" s="191" t="s">
        <v>123</v>
      </c>
      <c r="Q70" s="191"/>
      <c r="R70" s="191"/>
      <c r="S70" s="191"/>
      <c r="T70" s="191"/>
      <c r="U70" s="191"/>
      <c r="V70" s="191"/>
      <c r="W70" s="191"/>
      <c r="X70" s="191"/>
      <c r="Y70" s="191"/>
      <c r="AB70" s="191" t="s">
        <v>123</v>
      </c>
      <c r="AC70" s="191"/>
      <c r="AD70" s="191"/>
      <c r="AE70" s="191"/>
      <c r="AF70" s="191"/>
      <c r="AG70" s="191"/>
      <c r="AH70" s="191"/>
      <c r="AI70" s="191"/>
      <c r="AJ70" s="191"/>
      <c r="AK70" s="191"/>
      <c r="AL70" s="191"/>
      <c r="AM70" s="5"/>
      <c r="AN70" s="5"/>
    </row>
    <row r="71" spans="1:40" ht="21">
      <c r="A71" s="5"/>
      <c r="B71" s="5"/>
      <c r="C71" s="5"/>
      <c r="D71" s="5"/>
      <c r="E71" s="5"/>
      <c r="F71" s="5"/>
      <c r="G71" s="5"/>
      <c r="H71" s="5"/>
      <c r="I71" s="5"/>
      <c r="J71" s="4"/>
      <c r="K71" s="5"/>
      <c r="P71" s="5"/>
      <c r="Q71" s="5"/>
      <c r="R71" s="5"/>
      <c r="S71" s="5"/>
      <c r="T71" s="5"/>
      <c r="U71" s="5"/>
      <c r="V71" s="5"/>
      <c r="W71" s="5"/>
      <c r="X71" s="5"/>
      <c r="Y71" s="5"/>
      <c r="AB71" s="5"/>
      <c r="AC71" s="5"/>
      <c r="AD71" s="5"/>
      <c r="AE71" s="5"/>
      <c r="AF71" s="5"/>
      <c r="AG71" s="5"/>
      <c r="AH71" s="5"/>
      <c r="AI71" s="5"/>
      <c r="AJ71" s="5"/>
      <c r="AK71" s="5"/>
      <c r="AL71" s="5"/>
      <c r="AM71" s="5"/>
      <c r="AN71" s="5"/>
    </row>
    <row r="72" spans="1:40" ht="17" thickBot="1">
      <c r="A72" s="188" t="s">
        <v>8</v>
      </c>
      <c r="B72" s="188"/>
      <c r="C72" s="188"/>
      <c r="D72" s="188"/>
      <c r="E72" s="188"/>
      <c r="F72" s="188"/>
      <c r="G72" s="188"/>
      <c r="H72" s="188"/>
      <c r="I72" s="188"/>
      <c r="J72" s="188"/>
      <c r="K72" s="188"/>
      <c r="P72" s="188" t="s">
        <v>8</v>
      </c>
      <c r="Q72" s="188"/>
      <c r="R72" s="188"/>
      <c r="S72" s="188"/>
      <c r="T72" s="188"/>
      <c r="U72" s="188"/>
      <c r="V72" s="188"/>
      <c r="W72" s="188"/>
      <c r="X72" s="188"/>
      <c r="Y72" s="190"/>
      <c r="AB72" s="188" t="s">
        <v>8</v>
      </c>
      <c r="AC72" s="188"/>
      <c r="AD72" s="188"/>
      <c r="AE72" s="188"/>
      <c r="AF72" s="188"/>
      <c r="AG72" s="188"/>
      <c r="AH72" s="188"/>
      <c r="AI72" s="188"/>
      <c r="AJ72" s="188"/>
      <c r="AK72" s="188"/>
      <c r="AL72" s="188"/>
      <c r="AM72" s="7"/>
    </row>
    <row r="73" spans="1:40" ht="91" thickBot="1">
      <c r="A73" s="8" t="s">
        <v>124</v>
      </c>
      <c r="B73" s="9" t="s">
        <v>10</v>
      </c>
      <c r="C73" s="9" t="s">
        <v>11</v>
      </c>
      <c r="D73" s="9" t="s">
        <v>12</v>
      </c>
      <c r="E73" s="9" t="s">
        <v>13</v>
      </c>
      <c r="F73" s="9" t="s">
        <v>14</v>
      </c>
      <c r="G73" s="9" t="s">
        <v>15</v>
      </c>
      <c r="H73" s="9" t="s">
        <v>16</v>
      </c>
      <c r="I73" s="10" t="s">
        <v>17</v>
      </c>
      <c r="J73" s="11" t="s">
        <v>18</v>
      </c>
      <c r="K73" s="12" t="s">
        <v>19</v>
      </c>
      <c r="P73" s="8" t="s">
        <v>120</v>
      </c>
      <c r="Q73" s="9" t="s">
        <v>10</v>
      </c>
      <c r="R73" s="9" t="s">
        <v>11</v>
      </c>
      <c r="S73" s="9" t="s">
        <v>21</v>
      </c>
      <c r="T73" s="9" t="s">
        <v>22</v>
      </c>
      <c r="U73" s="9" t="s">
        <v>16</v>
      </c>
      <c r="V73" s="10" t="s">
        <v>17</v>
      </c>
      <c r="W73" s="15" t="s">
        <v>18</v>
      </c>
      <c r="X73" s="12" t="s">
        <v>19</v>
      </c>
      <c r="Y73" s="16"/>
      <c r="AB73" s="8" t="s">
        <v>125</v>
      </c>
      <c r="AC73" s="17" t="s">
        <v>24</v>
      </c>
      <c r="AD73" s="17" t="s">
        <v>25</v>
      </c>
      <c r="AE73" s="17" t="s">
        <v>26</v>
      </c>
      <c r="AF73" s="17" t="s">
        <v>27</v>
      </c>
      <c r="AG73" s="17" t="s">
        <v>28</v>
      </c>
      <c r="AH73" s="17" t="s">
        <v>29</v>
      </c>
      <c r="AI73" s="17" t="s">
        <v>30</v>
      </c>
      <c r="AJ73" s="17" t="s">
        <v>16</v>
      </c>
      <c r="AK73" s="18" t="s">
        <v>17</v>
      </c>
      <c r="AL73" s="18" t="s">
        <v>18</v>
      </c>
      <c r="AM73" s="19" t="s">
        <v>19</v>
      </c>
    </row>
    <row r="74" spans="1:40" ht="56">
      <c r="A74" s="20" t="s">
        <v>10</v>
      </c>
      <c r="B74" s="13"/>
      <c r="C74" s="13">
        <v>3</v>
      </c>
      <c r="D74" s="13"/>
      <c r="E74" s="13">
        <v>4</v>
      </c>
      <c r="F74" s="13"/>
      <c r="G74" s="13"/>
      <c r="H74" s="13"/>
      <c r="I74" s="21">
        <f t="shared" ref="I74:I81" si="50">SUM(B74:H74)</f>
        <v>7</v>
      </c>
      <c r="J74" s="22">
        <f t="shared" ref="J74:J80" si="51">1-K74</f>
        <v>1</v>
      </c>
      <c r="K74" s="23">
        <f t="shared" ref="K74:K77" si="52">H74/I74</f>
        <v>0</v>
      </c>
      <c r="P74" s="20" t="s">
        <v>10</v>
      </c>
      <c r="Q74" s="13"/>
      <c r="R74" s="13">
        <v>3</v>
      </c>
      <c r="S74" s="13">
        <v>4</v>
      </c>
      <c r="T74" s="13"/>
      <c r="U74" s="13"/>
      <c r="V74" s="21">
        <f t="shared" ref="V74:V79" si="53">SUM(Q74:U74)</f>
        <v>7</v>
      </c>
      <c r="W74" s="25">
        <f>1-X74</f>
        <v>1</v>
      </c>
      <c r="X74" s="23">
        <f>Q74/V74</f>
        <v>0</v>
      </c>
      <c r="Y74" s="21"/>
      <c r="AB74" s="26" t="s">
        <v>24</v>
      </c>
      <c r="AC74" s="27"/>
      <c r="AD74" s="28"/>
      <c r="AE74" s="28"/>
      <c r="AF74" s="28"/>
      <c r="AG74" s="28"/>
      <c r="AH74" s="28"/>
      <c r="AI74" s="28"/>
      <c r="AK74" s="29">
        <f t="shared" ref="AK74:AK80" si="54">SUM(AC74:AI74)</f>
        <v>0</v>
      </c>
      <c r="AL74" s="48">
        <f t="shared" ref="AL74:AL81" si="55">1-AM74</f>
        <v>0</v>
      </c>
      <c r="AM74" s="108">
        <v>1</v>
      </c>
    </row>
    <row r="75" spans="1:40" ht="45">
      <c r="A75" s="20" t="s">
        <v>11</v>
      </c>
      <c r="B75" s="13"/>
      <c r="C75" s="13"/>
      <c r="D75" s="13"/>
      <c r="E75" s="13"/>
      <c r="F75" s="13"/>
      <c r="G75" s="13"/>
      <c r="H75" s="13"/>
      <c r="I75" s="21">
        <f t="shared" si="50"/>
        <v>0</v>
      </c>
      <c r="J75" s="22">
        <f t="shared" si="51"/>
        <v>0</v>
      </c>
      <c r="K75" s="23">
        <v>1</v>
      </c>
      <c r="P75" s="20" t="s">
        <v>11</v>
      </c>
      <c r="Q75" s="13"/>
      <c r="R75" s="13"/>
      <c r="S75" s="13"/>
      <c r="T75" s="13"/>
      <c r="U75" s="13"/>
      <c r="V75" s="21">
        <f t="shared" si="53"/>
        <v>0</v>
      </c>
      <c r="W75" s="25">
        <f t="shared" ref="W75:W78" si="56">1-X75</f>
        <v>0</v>
      </c>
      <c r="X75" s="23">
        <v>1</v>
      </c>
      <c r="Y75" s="21"/>
      <c r="AB75" s="32" t="s">
        <v>25</v>
      </c>
      <c r="AC75" s="16"/>
      <c r="AD75" s="13"/>
      <c r="AE75" s="13"/>
      <c r="AF75" s="13"/>
      <c r="AG75" s="13"/>
      <c r="AH75" s="13"/>
      <c r="AI75" s="13"/>
      <c r="AK75" s="21">
        <f t="shared" si="54"/>
        <v>0</v>
      </c>
      <c r="AL75" s="48">
        <f t="shared" si="55"/>
        <v>0</v>
      </c>
      <c r="AM75" s="108">
        <v>1</v>
      </c>
    </row>
    <row r="76" spans="1:40" ht="60">
      <c r="A76" s="20" t="s">
        <v>12</v>
      </c>
      <c r="B76" s="13"/>
      <c r="C76" s="13"/>
      <c r="D76" s="13"/>
      <c r="E76" s="13"/>
      <c r="F76" s="13"/>
      <c r="G76" s="13"/>
      <c r="H76" s="13"/>
      <c r="I76" s="21">
        <f t="shared" si="50"/>
        <v>0</v>
      </c>
      <c r="J76" s="22">
        <f t="shared" si="51"/>
        <v>0</v>
      </c>
      <c r="K76" s="23">
        <v>1</v>
      </c>
      <c r="P76" s="20" t="s">
        <v>21</v>
      </c>
      <c r="Q76" s="13"/>
      <c r="R76" s="13"/>
      <c r="S76" s="13">
        <v>4</v>
      </c>
      <c r="T76" s="13"/>
      <c r="U76" s="13">
        <v>1</v>
      </c>
      <c r="V76" s="21">
        <f t="shared" si="53"/>
        <v>5</v>
      </c>
      <c r="W76" s="25">
        <f t="shared" si="56"/>
        <v>0.19999999999999996</v>
      </c>
      <c r="X76" s="23">
        <f>S76/V76</f>
        <v>0.8</v>
      </c>
      <c r="Y76" s="21"/>
      <c r="AB76" s="32" t="s">
        <v>26</v>
      </c>
      <c r="AC76" s="16"/>
      <c r="AD76" s="13"/>
      <c r="AE76" s="13">
        <v>1</v>
      </c>
      <c r="AF76" s="13"/>
      <c r="AG76" s="13"/>
      <c r="AH76" s="13"/>
      <c r="AI76" s="13"/>
      <c r="AK76" s="21">
        <f t="shared" si="54"/>
        <v>1</v>
      </c>
      <c r="AL76" s="48">
        <f t="shared" si="55"/>
        <v>1</v>
      </c>
      <c r="AM76" s="108">
        <f t="shared" ref="AM76:AM80" si="57">AJ76/AK76</f>
        <v>0</v>
      </c>
    </row>
    <row r="77" spans="1:40" ht="45">
      <c r="A77" s="20" t="s">
        <v>13</v>
      </c>
      <c r="B77" s="13"/>
      <c r="C77" s="13">
        <v>1</v>
      </c>
      <c r="D77" s="13"/>
      <c r="E77" s="13">
        <v>4</v>
      </c>
      <c r="F77" s="13"/>
      <c r="G77" s="13"/>
      <c r="H77" s="13"/>
      <c r="I77" s="21">
        <f t="shared" si="50"/>
        <v>5</v>
      </c>
      <c r="J77" s="22">
        <f t="shared" si="51"/>
        <v>1</v>
      </c>
      <c r="K77" s="23">
        <f t="shared" si="52"/>
        <v>0</v>
      </c>
      <c r="P77" s="20" t="s">
        <v>22</v>
      </c>
      <c r="Q77" s="13"/>
      <c r="R77" s="13"/>
      <c r="S77" s="13"/>
      <c r="T77" s="13"/>
      <c r="U77" s="13"/>
      <c r="V77" s="21">
        <f t="shared" si="53"/>
        <v>0</v>
      </c>
      <c r="W77" s="25">
        <f t="shared" si="56"/>
        <v>0</v>
      </c>
      <c r="X77" s="23">
        <v>1</v>
      </c>
      <c r="Y77" s="21"/>
      <c r="AB77" s="32" t="s">
        <v>27</v>
      </c>
      <c r="AC77" s="16"/>
      <c r="AD77" s="13"/>
      <c r="AE77" s="13"/>
      <c r="AF77" s="13">
        <v>1</v>
      </c>
      <c r="AG77" s="13"/>
      <c r="AH77" s="13"/>
      <c r="AI77" s="13"/>
      <c r="AK77" s="21">
        <f t="shared" si="54"/>
        <v>1</v>
      </c>
      <c r="AL77" s="48">
        <f t="shared" si="55"/>
        <v>1</v>
      </c>
      <c r="AM77" s="108">
        <f t="shared" si="57"/>
        <v>0</v>
      </c>
    </row>
    <row r="78" spans="1:40" ht="45">
      <c r="A78" s="20" t="s">
        <v>14</v>
      </c>
      <c r="B78" s="13"/>
      <c r="C78" s="13"/>
      <c r="D78" s="13"/>
      <c r="E78" s="13"/>
      <c r="F78" s="13"/>
      <c r="G78" s="13"/>
      <c r="H78" s="13"/>
      <c r="I78" s="21">
        <f t="shared" si="50"/>
        <v>0</v>
      </c>
      <c r="J78" s="22">
        <f t="shared" si="51"/>
        <v>0</v>
      </c>
      <c r="K78" s="23">
        <v>1</v>
      </c>
      <c r="P78" s="20" t="s">
        <v>16</v>
      </c>
      <c r="Q78" s="13"/>
      <c r="R78" s="13">
        <v>2</v>
      </c>
      <c r="S78" s="13">
        <v>2</v>
      </c>
      <c r="T78" s="13"/>
      <c r="U78" s="13"/>
      <c r="V78" s="21">
        <f t="shared" si="53"/>
        <v>4</v>
      </c>
      <c r="W78" s="25">
        <f t="shared" si="56"/>
        <v>1</v>
      </c>
      <c r="X78" s="23">
        <f>U78/V78</f>
        <v>0</v>
      </c>
      <c r="Y78" s="21"/>
      <c r="AB78" s="32" t="s">
        <v>28</v>
      </c>
      <c r="AC78" s="16"/>
      <c r="AD78" s="13"/>
      <c r="AE78" s="13"/>
      <c r="AF78" s="13"/>
      <c r="AG78" s="13"/>
      <c r="AH78" s="13"/>
      <c r="AI78" s="13"/>
      <c r="AK78" s="21">
        <f t="shared" si="54"/>
        <v>0</v>
      </c>
      <c r="AL78" s="48">
        <f t="shared" si="55"/>
        <v>0</v>
      </c>
      <c r="AM78" s="108">
        <v>1</v>
      </c>
    </row>
    <row r="79" spans="1:40" ht="45">
      <c r="A79" s="20" t="s">
        <v>15</v>
      </c>
      <c r="B79" s="13"/>
      <c r="C79" s="13"/>
      <c r="D79" s="13"/>
      <c r="E79" s="13"/>
      <c r="F79" s="13"/>
      <c r="G79" s="13"/>
      <c r="H79" s="13"/>
      <c r="I79" s="21">
        <f t="shared" si="50"/>
        <v>0</v>
      </c>
      <c r="J79" s="22">
        <f t="shared" si="51"/>
        <v>0</v>
      </c>
      <c r="K79" s="23">
        <v>1</v>
      </c>
      <c r="P79" s="33" t="s">
        <v>17</v>
      </c>
      <c r="Q79" s="21">
        <f>SUM(Q74:Q78)</f>
        <v>0</v>
      </c>
      <c r="R79" s="21">
        <f>SUM(R74:R78)</f>
        <v>5</v>
      </c>
      <c r="S79" s="21">
        <f>SUM(S74:S78)</f>
        <v>10</v>
      </c>
      <c r="T79" s="21">
        <f>SUM(T74:T78)</f>
        <v>0</v>
      </c>
      <c r="U79" s="21">
        <f>SUM(U74:U78)</f>
        <v>1</v>
      </c>
      <c r="V79" s="21">
        <f t="shared" si="53"/>
        <v>16</v>
      </c>
      <c r="W79" s="21"/>
      <c r="X79" s="34"/>
      <c r="Y79" s="21"/>
      <c r="AB79" s="32" t="s">
        <v>29</v>
      </c>
      <c r="AC79" s="16"/>
      <c r="AD79" s="13"/>
      <c r="AE79" s="13"/>
      <c r="AF79" s="13"/>
      <c r="AG79" s="13"/>
      <c r="AH79" s="13"/>
      <c r="AI79" s="13"/>
      <c r="AK79" s="21">
        <f t="shared" si="54"/>
        <v>0</v>
      </c>
      <c r="AL79" s="48">
        <f t="shared" si="55"/>
        <v>0</v>
      </c>
      <c r="AM79" s="108">
        <v>1</v>
      </c>
    </row>
    <row r="80" spans="1:40" ht="45">
      <c r="A80" s="20" t="s">
        <v>16</v>
      </c>
      <c r="B80" s="13"/>
      <c r="C80" s="13">
        <v>2</v>
      </c>
      <c r="D80" s="13"/>
      <c r="E80" s="13">
        <v>2</v>
      </c>
      <c r="F80" s="13"/>
      <c r="G80" s="13"/>
      <c r="H80" s="13"/>
      <c r="I80" s="21">
        <f t="shared" si="50"/>
        <v>4</v>
      </c>
      <c r="J80" s="22">
        <f t="shared" si="51"/>
        <v>1</v>
      </c>
      <c r="K80" s="23">
        <f>H80/I80</f>
        <v>0</v>
      </c>
      <c r="P80" s="33" t="s">
        <v>31</v>
      </c>
      <c r="Q80" s="25">
        <f>1-Q81</f>
        <v>0</v>
      </c>
      <c r="R80" s="25">
        <f t="shared" ref="R80:U80" si="58">1-R81</f>
        <v>1</v>
      </c>
      <c r="S80" s="25">
        <f t="shared" si="58"/>
        <v>0.6</v>
      </c>
      <c r="T80" s="25">
        <f t="shared" si="58"/>
        <v>0</v>
      </c>
      <c r="U80" s="25">
        <f t="shared" si="58"/>
        <v>1</v>
      </c>
      <c r="V80" s="13"/>
      <c r="W80" s="35" t="s">
        <v>32</v>
      </c>
      <c r="X80" s="36">
        <f>X85</f>
        <v>4.9504950495049507E-2</v>
      </c>
      <c r="Y80" s="21"/>
      <c r="AB80" s="32" t="s">
        <v>30</v>
      </c>
      <c r="AC80" s="16"/>
      <c r="AD80" s="13"/>
      <c r="AE80" s="13"/>
      <c r="AF80" s="13"/>
      <c r="AG80" s="13">
        <v>1</v>
      </c>
      <c r="AH80" s="13"/>
      <c r="AI80" s="13">
        <v>11</v>
      </c>
      <c r="AK80" s="21">
        <f t="shared" si="54"/>
        <v>12</v>
      </c>
      <c r="AL80" s="48">
        <f t="shared" si="55"/>
        <v>1</v>
      </c>
      <c r="AM80" s="108">
        <f t="shared" si="57"/>
        <v>0</v>
      </c>
    </row>
    <row r="81" spans="1:40" ht="33" thickBot="1">
      <c r="A81" s="33" t="s">
        <v>17</v>
      </c>
      <c r="B81" s="21">
        <f t="shared" ref="B81:H81" si="59">SUM(B74:B80)</f>
        <v>0</v>
      </c>
      <c r="C81" s="21">
        <f t="shared" si="59"/>
        <v>6</v>
      </c>
      <c r="D81" s="21">
        <f t="shared" si="59"/>
        <v>0</v>
      </c>
      <c r="E81" s="21">
        <f t="shared" si="59"/>
        <v>10</v>
      </c>
      <c r="F81" s="21">
        <f t="shared" si="59"/>
        <v>0</v>
      </c>
      <c r="G81" s="21">
        <f t="shared" si="59"/>
        <v>0</v>
      </c>
      <c r="H81" s="21">
        <f t="shared" si="59"/>
        <v>0</v>
      </c>
      <c r="I81" s="21">
        <f t="shared" si="50"/>
        <v>16</v>
      </c>
      <c r="J81" s="37"/>
      <c r="K81" s="34"/>
      <c r="P81" s="38" t="s">
        <v>33</v>
      </c>
      <c r="Q81" s="40">
        <v>1</v>
      </c>
      <c r="R81" s="40">
        <f t="shared" ref="R81" si="60">R76/R79</f>
        <v>0</v>
      </c>
      <c r="S81" s="40">
        <f>S76/S79</f>
        <v>0.4</v>
      </c>
      <c r="T81" s="40">
        <v>1</v>
      </c>
      <c r="U81" s="40">
        <f>U77/U79</f>
        <v>0</v>
      </c>
      <c r="V81" s="41"/>
      <c r="W81" s="42" t="s">
        <v>34</v>
      </c>
      <c r="X81" s="43">
        <f>Y82</f>
        <v>0.25</v>
      </c>
      <c r="Y81" s="44"/>
      <c r="AB81" s="60" t="s">
        <v>16</v>
      </c>
      <c r="AC81" s="16"/>
      <c r="AJ81" s="24">
        <v>2</v>
      </c>
      <c r="AK81" s="21">
        <f>SUM(AC81:AJ81)</f>
        <v>2</v>
      </c>
      <c r="AL81" s="48">
        <f t="shared" si="55"/>
        <v>0</v>
      </c>
      <c r="AM81" s="108">
        <f>AJ81/AK81</f>
        <v>1</v>
      </c>
    </row>
    <row r="82" spans="1:40" ht="28">
      <c r="A82" s="33" t="s">
        <v>31</v>
      </c>
      <c r="B82" s="25">
        <f>1-B83</f>
        <v>0</v>
      </c>
      <c r="C82" s="25">
        <f t="shared" ref="C82:H82" si="61">1-C83</f>
        <v>0</v>
      </c>
      <c r="D82" s="25">
        <f t="shared" si="61"/>
        <v>0</v>
      </c>
      <c r="E82" s="25">
        <f t="shared" si="61"/>
        <v>0.6</v>
      </c>
      <c r="F82" s="25">
        <f t="shared" si="61"/>
        <v>0</v>
      </c>
      <c r="G82" s="25">
        <f t="shared" si="61"/>
        <v>0</v>
      </c>
      <c r="H82" s="25">
        <f t="shared" si="61"/>
        <v>0</v>
      </c>
      <c r="I82" s="13"/>
      <c r="J82" s="35" t="s">
        <v>32</v>
      </c>
      <c r="K82" s="36">
        <f>K87</f>
        <v>6.7961165048543687E-2</v>
      </c>
      <c r="P82" s="129" t="s">
        <v>136</v>
      </c>
      <c r="W82" s="4"/>
      <c r="Y82" s="50">
        <f>SUM(Q74,R75,S76,T77,U78)/V79</f>
        <v>0.25</v>
      </c>
      <c r="AB82" s="33" t="s">
        <v>17</v>
      </c>
      <c r="AC82" s="21">
        <f t="shared" ref="AC82:AI82" si="62">SUM(AC74:AC81)</f>
        <v>0</v>
      </c>
      <c r="AD82" s="21">
        <f t="shared" si="62"/>
        <v>0</v>
      </c>
      <c r="AE82" s="21">
        <f t="shared" si="62"/>
        <v>1</v>
      </c>
      <c r="AF82" s="21">
        <f t="shared" si="62"/>
        <v>1</v>
      </c>
      <c r="AG82" s="21">
        <f t="shared" si="62"/>
        <v>1</v>
      </c>
      <c r="AH82" s="21">
        <f t="shared" si="62"/>
        <v>0</v>
      </c>
      <c r="AI82" s="21">
        <f t="shared" si="62"/>
        <v>11</v>
      </c>
      <c r="AJ82" s="21">
        <f>SUM(AJ74:AJ81)</f>
        <v>2</v>
      </c>
      <c r="AK82" s="21">
        <f>SUM(AC82:AJ82)</f>
        <v>16</v>
      </c>
      <c r="AM82" s="51"/>
    </row>
    <row r="83" spans="1:40" ht="33" thickBot="1">
      <c r="A83" s="38" t="s">
        <v>33</v>
      </c>
      <c r="B83" s="39">
        <v>1</v>
      </c>
      <c r="C83" s="40">
        <v>1</v>
      </c>
      <c r="D83" s="40">
        <v>1</v>
      </c>
      <c r="E83" s="40">
        <f>E77/E81</f>
        <v>0.4</v>
      </c>
      <c r="F83" s="40">
        <v>1</v>
      </c>
      <c r="G83" s="40">
        <v>1</v>
      </c>
      <c r="H83" s="39">
        <v>1</v>
      </c>
      <c r="I83" s="41"/>
      <c r="J83" s="42" t="s">
        <v>34</v>
      </c>
      <c r="K83" s="43">
        <f>L84</f>
        <v>0.25</v>
      </c>
      <c r="P83" s="141" t="s">
        <v>135</v>
      </c>
      <c r="Q83" s="122">
        <f>Q79*V74</f>
        <v>0</v>
      </c>
      <c r="R83" s="122">
        <f>R79*V75</f>
        <v>0</v>
      </c>
      <c r="S83" s="122">
        <f>S79*V76</f>
        <v>50</v>
      </c>
      <c r="T83" s="122">
        <f>T79*V77</f>
        <v>0</v>
      </c>
      <c r="U83" s="122">
        <f>U79*V78</f>
        <v>4</v>
      </c>
      <c r="V83" s="123">
        <f>SUM(Q83:U83)</f>
        <v>54</v>
      </c>
      <c r="W83" s="128"/>
      <c r="X83" s="123"/>
      <c r="Y83" s="44"/>
      <c r="AB83" s="33" t="s">
        <v>35</v>
      </c>
      <c r="AC83" s="90">
        <f>1-AC84</f>
        <v>0</v>
      </c>
      <c r="AD83" s="55">
        <f>1-AD84</f>
        <v>0</v>
      </c>
      <c r="AE83" s="55">
        <f t="shared" ref="AE83:AJ83" si="63">1-AE84</f>
        <v>0</v>
      </c>
      <c r="AF83" s="55">
        <f t="shared" si="63"/>
        <v>0</v>
      </c>
      <c r="AG83" s="55">
        <f t="shared" si="63"/>
        <v>1</v>
      </c>
      <c r="AH83" s="55">
        <f t="shared" si="63"/>
        <v>0</v>
      </c>
      <c r="AI83" s="55">
        <f t="shared" si="63"/>
        <v>1</v>
      </c>
      <c r="AJ83" s="55">
        <f t="shared" si="63"/>
        <v>1</v>
      </c>
      <c r="AL83" s="35" t="s">
        <v>32</v>
      </c>
      <c r="AM83" s="36">
        <f>AM88</f>
        <v>0.86440677966101698</v>
      </c>
    </row>
    <row r="84" spans="1:40" ht="33" thickBot="1">
      <c r="A84" s="129" t="s">
        <v>136</v>
      </c>
      <c r="J84" s="4"/>
      <c r="L84" s="50">
        <f>SUM(B74,C75,D76,E77,F78,G79,H80)/I81</f>
        <v>0.25</v>
      </c>
      <c r="P84" s="142" t="s">
        <v>134</v>
      </c>
      <c r="Q84" s="124">
        <f>(Q79*$V74)+(Q79*$V75)+(Q79*$V76)+(Q79*$V77)+(Q79*$V78)</f>
        <v>0</v>
      </c>
      <c r="R84" s="124">
        <f t="shared" ref="R84:U84" si="64">(R79*$V74)+(R79*$V75)+(R79*$V76)+(R79*$V77)+(R79*$V78)</f>
        <v>80</v>
      </c>
      <c r="S84" s="124">
        <f t="shared" si="64"/>
        <v>160</v>
      </c>
      <c r="T84" s="124">
        <f t="shared" si="64"/>
        <v>0</v>
      </c>
      <c r="U84" s="124">
        <f t="shared" si="64"/>
        <v>16</v>
      </c>
      <c r="V84" s="125">
        <f>SUM(Q84:U84)</f>
        <v>256</v>
      </c>
      <c r="W84" s="127"/>
      <c r="X84" s="125" t="s">
        <v>32</v>
      </c>
      <c r="Y84" s="44"/>
      <c r="AB84" s="38" t="s">
        <v>33</v>
      </c>
      <c r="AC84" s="91">
        <v>1</v>
      </c>
      <c r="AD84" s="92">
        <v>1</v>
      </c>
      <c r="AE84" s="93">
        <f>AE76/AE82</f>
        <v>1</v>
      </c>
      <c r="AF84" s="93">
        <f>AF77/AF82</f>
        <v>1</v>
      </c>
      <c r="AG84" s="93">
        <f t="shared" ref="AG84:AJ84" si="65">AG77/AG82</f>
        <v>0</v>
      </c>
      <c r="AH84" s="93">
        <v>1</v>
      </c>
      <c r="AI84" s="93">
        <f t="shared" si="65"/>
        <v>0</v>
      </c>
      <c r="AJ84" s="93">
        <f t="shared" si="65"/>
        <v>0</v>
      </c>
      <c r="AK84" s="41"/>
      <c r="AL84" s="42" t="s">
        <v>34</v>
      </c>
      <c r="AM84" s="43">
        <f>AN85</f>
        <v>0.9375</v>
      </c>
    </row>
    <row r="85" spans="1:40" ht="29" thickTop="1">
      <c r="A85" s="130" t="s">
        <v>135</v>
      </c>
      <c r="B85" s="122">
        <f>B81*I74</f>
        <v>0</v>
      </c>
      <c r="C85" s="122">
        <f>C81*I75</f>
        <v>0</v>
      </c>
      <c r="D85" s="122">
        <f>D81*I76</f>
        <v>0</v>
      </c>
      <c r="E85" s="122">
        <f>E81*I77</f>
        <v>50</v>
      </c>
      <c r="F85" s="122">
        <f>F81*I78</f>
        <v>0</v>
      </c>
      <c r="G85" s="122">
        <f>G81*I79</f>
        <v>0</v>
      </c>
      <c r="H85" s="122">
        <f>H81*I80</f>
        <v>0</v>
      </c>
      <c r="I85" s="123">
        <f>SUM(B85:H85)</f>
        <v>50</v>
      </c>
      <c r="J85" s="128"/>
      <c r="K85" s="123"/>
      <c r="L85" s="44"/>
      <c r="P85" s="13"/>
      <c r="Q85" s="115"/>
      <c r="R85" s="115"/>
      <c r="S85" s="115"/>
      <c r="T85" s="115"/>
      <c r="U85" s="115"/>
      <c r="V85" t="s">
        <v>110</v>
      </c>
      <c r="W85" s="102">
        <f>Y82</f>
        <v>0.25</v>
      </c>
      <c r="X85" s="104">
        <f>(W85-W86)/(1-W86)</f>
        <v>4.9504950495049507E-2</v>
      </c>
      <c r="Y85" s="44"/>
      <c r="AB85" s="129" t="s">
        <v>136</v>
      </c>
      <c r="AL85" s="4"/>
      <c r="AN85" s="50">
        <f>SUM(AC74,AD75,AE76,AF77,AG78,AH79,AI80,AJ81)/AK82</f>
        <v>0.9375</v>
      </c>
    </row>
    <row r="86" spans="1:40" ht="43" thickBot="1">
      <c r="A86" s="131" t="s">
        <v>134</v>
      </c>
      <c r="B86" s="124">
        <f>(B81*$I74)+(B81*$I75)+(B81*$I76)+(B81*$I77)+(B81*$I78)+(B81*$I79)+(B81*$I80)</f>
        <v>0</v>
      </c>
      <c r="C86" s="124">
        <f t="shared" ref="C86:I86" si="66">(C81*$I74)+(C81*$I75)+(C81*$I76)+(C81*$I77)+(C81*$I78)+(C81*$I79)+(C81*$I80)</f>
        <v>96</v>
      </c>
      <c r="D86" s="124">
        <f t="shared" si="66"/>
        <v>0</v>
      </c>
      <c r="E86" s="124">
        <f t="shared" si="66"/>
        <v>160</v>
      </c>
      <c r="F86" s="124">
        <f t="shared" si="66"/>
        <v>0</v>
      </c>
      <c r="G86" s="124">
        <f t="shared" si="66"/>
        <v>0</v>
      </c>
      <c r="H86" s="124">
        <f>(H81*$I74)+(H81*$I75)+(H81*$I76)+(H81*$I77)+(H81*$I78)+(H81*$I79)+(H81*$I80)</f>
        <v>0</v>
      </c>
      <c r="I86" s="125">
        <f>SUM(B86:H86)</f>
        <v>256</v>
      </c>
      <c r="J86" s="127"/>
      <c r="K86" s="125" t="s">
        <v>32</v>
      </c>
      <c r="L86" s="44"/>
      <c r="P86" s="187"/>
      <c r="Q86" s="115"/>
      <c r="R86" s="115"/>
      <c r="S86" s="115"/>
      <c r="T86" s="115"/>
      <c r="U86" s="115"/>
      <c r="V86" t="s">
        <v>111</v>
      </c>
      <c r="W86" s="103">
        <f>V83/V84</f>
        <v>0.2109375</v>
      </c>
      <c r="X86" s="101"/>
      <c r="AB86" s="141" t="s">
        <v>135</v>
      </c>
      <c r="AC86" s="122">
        <f>AC82*AK74</f>
        <v>0</v>
      </c>
      <c r="AD86" s="122">
        <f>AD82*AK75</f>
        <v>0</v>
      </c>
      <c r="AE86" s="122">
        <f>AE82*AK76</f>
        <v>1</v>
      </c>
      <c r="AF86" s="122">
        <f>AF82*AK77</f>
        <v>1</v>
      </c>
      <c r="AG86" s="122">
        <f>AG82*AK78</f>
        <v>0</v>
      </c>
      <c r="AH86" s="122">
        <f>AH82*AK79</f>
        <v>0</v>
      </c>
      <c r="AI86" s="122">
        <f>AI82*AK80</f>
        <v>132</v>
      </c>
      <c r="AJ86" s="122">
        <f>AJ82*AK81</f>
        <v>4</v>
      </c>
      <c r="AK86" s="123">
        <f>SUM(AC86:AJ86)</f>
        <v>138</v>
      </c>
      <c r="AL86" s="128"/>
      <c r="AM86" s="123"/>
      <c r="AN86" s="44"/>
    </row>
    <row r="87" spans="1:40" ht="30" thickTop="1" thickBot="1">
      <c r="A87" s="13"/>
      <c r="B87" s="115"/>
      <c r="C87" s="115"/>
      <c r="D87" s="115"/>
      <c r="E87" s="115"/>
      <c r="F87" s="115"/>
      <c r="G87" s="115"/>
      <c r="H87" s="115"/>
      <c r="I87" t="s">
        <v>110</v>
      </c>
      <c r="J87" s="102">
        <f>L84</f>
        <v>0.25</v>
      </c>
      <c r="K87" s="104">
        <f>(J87-J88)/(1-J88)</f>
        <v>6.7961165048543687E-2</v>
      </c>
      <c r="L87" s="44"/>
      <c r="Q87" s="100"/>
      <c r="R87" s="100"/>
      <c r="S87" s="100"/>
      <c r="T87" s="100"/>
      <c r="U87" s="100"/>
      <c r="V87" s="111"/>
      <c r="W87" s="132"/>
      <c r="X87" s="133"/>
      <c r="AB87" s="142" t="s">
        <v>134</v>
      </c>
      <c r="AC87" s="124">
        <f>(AC82*$AK74)+(AC82*$AK75)+(AC82*$AK76)+(AC82*$AK77)+(AC82*$AK78)+(AC82*$AK79)+(AC82*$AK80)+(AC82*$AK81)</f>
        <v>0</v>
      </c>
      <c r="AD87" s="124">
        <f t="shared" ref="AD87:AJ87" si="67">(AD82*$AK74)+(AD82*$AK75)+(AD82*$AK76)+(AD82*$AK77)+(AD82*$AK78)+(AD82*$AK79)+(AD82*$AK80)+(AD82*$AK81)</f>
        <v>0</v>
      </c>
      <c r="AE87" s="124">
        <f t="shared" si="67"/>
        <v>16</v>
      </c>
      <c r="AF87" s="124">
        <f t="shared" si="67"/>
        <v>16</v>
      </c>
      <c r="AG87" s="124">
        <f t="shared" si="67"/>
        <v>16</v>
      </c>
      <c r="AH87" s="124">
        <f t="shared" si="67"/>
        <v>0</v>
      </c>
      <c r="AI87" s="124">
        <f t="shared" si="67"/>
        <v>176</v>
      </c>
      <c r="AJ87" s="124">
        <f t="shared" si="67"/>
        <v>32</v>
      </c>
      <c r="AK87" s="125">
        <f>SUM(AC87:AJ87)</f>
        <v>256</v>
      </c>
      <c r="AL87" s="127"/>
      <c r="AM87" s="125" t="s">
        <v>32</v>
      </c>
      <c r="AN87" s="44"/>
    </row>
    <row r="88" spans="1:40" ht="22" thickTop="1">
      <c r="A88" s="187"/>
      <c r="B88" s="115"/>
      <c r="C88" s="115"/>
      <c r="D88" s="115"/>
      <c r="E88" s="115"/>
      <c r="F88" s="115"/>
      <c r="G88" s="115"/>
      <c r="H88" s="115"/>
      <c r="I88" t="s">
        <v>111</v>
      </c>
      <c r="J88" s="103">
        <f>I85/I86</f>
        <v>0.1953125</v>
      </c>
      <c r="K88" s="101"/>
      <c r="Q88" s="100"/>
      <c r="R88" s="100"/>
      <c r="S88" s="100"/>
      <c r="T88" s="100"/>
      <c r="U88" s="100"/>
      <c r="V88" s="111"/>
      <c r="W88" s="132"/>
      <c r="X88" s="101"/>
      <c r="AB88" s="187"/>
      <c r="AC88" s="13"/>
      <c r="AD88" s="115"/>
      <c r="AE88" s="115"/>
      <c r="AF88" s="115"/>
      <c r="AG88" s="115"/>
      <c r="AH88" s="115"/>
      <c r="AK88" t="s">
        <v>110</v>
      </c>
      <c r="AL88" s="102">
        <f>AN85</f>
        <v>0.9375</v>
      </c>
      <c r="AM88" s="104">
        <f>(AL88-AL89)/(1-AL89)</f>
        <v>0.86440677966101698</v>
      </c>
      <c r="AN88" s="44"/>
    </row>
    <row r="89" spans="1:40" ht="21">
      <c r="B89" s="126"/>
      <c r="C89" s="126"/>
      <c r="D89" s="126"/>
      <c r="E89" s="126"/>
      <c r="F89" s="126"/>
      <c r="G89" s="126"/>
      <c r="H89" s="126"/>
      <c r="I89" s="134"/>
      <c r="J89" s="135"/>
      <c r="K89" s="134"/>
      <c r="L89" s="137"/>
      <c r="AB89" s="59"/>
      <c r="AC89" s="187"/>
      <c r="AD89" s="115"/>
      <c r="AE89" s="115"/>
      <c r="AF89" s="115"/>
      <c r="AG89" s="115"/>
      <c r="AH89" s="115"/>
      <c r="AK89" t="s">
        <v>111</v>
      </c>
      <c r="AL89" s="103">
        <f>AK86/AK87</f>
        <v>0.5390625</v>
      </c>
      <c r="AM89" s="101"/>
    </row>
    <row r="90" spans="1:40" ht="21">
      <c r="B90" s="126"/>
      <c r="C90" s="126"/>
      <c r="D90" s="126"/>
      <c r="E90" s="126"/>
      <c r="F90" s="126"/>
      <c r="G90" s="126"/>
      <c r="H90" s="126"/>
      <c r="I90" s="137"/>
      <c r="J90" s="134"/>
      <c r="K90" s="135"/>
      <c r="AC90" s="126"/>
      <c r="AD90" s="126"/>
      <c r="AE90" s="126"/>
      <c r="AF90" s="126"/>
      <c r="AG90" s="126"/>
      <c r="AH90" s="126"/>
      <c r="AI90" s="126"/>
      <c r="AJ90" s="126"/>
      <c r="AK90" s="137"/>
      <c r="AL90" s="137"/>
      <c r="AM90" s="137"/>
    </row>
    <row r="91" spans="1:40" ht="21">
      <c r="B91" s="126"/>
      <c r="C91" s="126"/>
      <c r="D91" s="126"/>
      <c r="E91" s="126"/>
      <c r="F91" s="126"/>
      <c r="G91" s="126"/>
      <c r="H91" s="126"/>
      <c r="I91" s="137"/>
      <c r="J91" s="138"/>
      <c r="K91" s="139"/>
      <c r="AC91" s="126"/>
      <c r="AD91" s="126"/>
      <c r="AE91" s="126"/>
      <c r="AF91" s="126"/>
      <c r="AG91" s="126"/>
      <c r="AH91" s="126"/>
      <c r="AI91" s="126"/>
      <c r="AJ91" s="126"/>
      <c r="AK91" s="137"/>
      <c r="AL91" s="137"/>
      <c r="AM91" s="137"/>
    </row>
    <row r="92" spans="1:40" ht="21">
      <c r="A92" s="191" t="s">
        <v>126</v>
      </c>
      <c r="B92" s="191"/>
      <c r="C92" s="191"/>
      <c r="D92" s="191"/>
      <c r="E92" s="191"/>
      <c r="F92" s="191"/>
      <c r="G92" s="191"/>
      <c r="H92" s="191"/>
      <c r="I92" s="191"/>
      <c r="J92" s="191"/>
      <c r="K92" s="191"/>
      <c r="P92" s="191" t="s">
        <v>127</v>
      </c>
      <c r="Q92" s="191"/>
      <c r="R92" s="191"/>
      <c r="S92" s="191"/>
      <c r="T92" s="191"/>
      <c r="U92" s="191"/>
      <c r="V92" s="191"/>
      <c r="W92" s="191"/>
      <c r="X92" s="191"/>
      <c r="Y92" s="191"/>
      <c r="AB92" s="191" t="s">
        <v>128</v>
      </c>
      <c r="AC92" s="191"/>
      <c r="AD92" s="191"/>
      <c r="AE92" s="191"/>
      <c r="AF92" s="191"/>
      <c r="AG92" s="191"/>
      <c r="AH92" s="191"/>
      <c r="AI92" s="191"/>
      <c r="AJ92" s="191"/>
      <c r="AK92" s="191"/>
      <c r="AL92" s="191"/>
      <c r="AM92" s="5"/>
      <c r="AN92" s="5"/>
    </row>
    <row r="93" spans="1:40" ht="21">
      <c r="A93" s="5"/>
      <c r="B93" s="5"/>
      <c r="C93" s="5"/>
      <c r="D93" s="5"/>
      <c r="E93" s="5"/>
      <c r="F93" s="5"/>
      <c r="G93" s="5"/>
      <c r="H93" s="5"/>
      <c r="I93" s="5"/>
      <c r="J93" s="4"/>
      <c r="K93" s="5"/>
      <c r="P93" s="5"/>
      <c r="Q93" s="5"/>
      <c r="R93" s="5"/>
      <c r="S93" s="5"/>
      <c r="T93" s="5"/>
      <c r="U93" s="5"/>
      <c r="V93" s="5"/>
      <c r="W93" s="5"/>
      <c r="X93" s="5"/>
      <c r="Y93" s="5"/>
      <c r="AB93" s="5"/>
      <c r="AC93" s="5"/>
      <c r="AD93" s="5"/>
      <c r="AE93" s="5"/>
      <c r="AF93" s="5"/>
      <c r="AG93" s="5"/>
      <c r="AH93" s="5"/>
      <c r="AI93" s="5"/>
      <c r="AJ93" s="5"/>
      <c r="AK93" s="5"/>
      <c r="AL93" s="5"/>
      <c r="AM93" s="5"/>
      <c r="AN93" s="5"/>
    </row>
    <row r="94" spans="1:40" ht="17" thickBot="1">
      <c r="A94" s="188" t="s">
        <v>8</v>
      </c>
      <c r="B94" s="188"/>
      <c r="C94" s="188"/>
      <c r="D94" s="188"/>
      <c r="E94" s="188"/>
      <c r="F94" s="188"/>
      <c r="G94" s="188"/>
      <c r="H94" s="188"/>
      <c r="I94" s="188"/>
      <c r="J94" s="188"/>
      <c r="K94" s="188"/>
      <c r="P94" s="188" t="s">
        <v>8</v>
      </c>
      <c r="Q94" s="188"/>
      <c r="R94" s="188"/>
      <c r="S94" s="188"/>
      <c r="T94" s="188"/>
      <c r="U94" s="188"/>
      <c r="V94" s="188"/>
      <c r="W94" s="188"/>
      <c r="X94" s="188"/>
      <c r="Y94" s="190"/>
      <c r="AB94" s="188" t="s">
        <v>8</v>
      </c>
      <c r="AC94" s="188"/>
      <c r="AD94" s="188"/>
      <c r="AE94" s="188"/>
      <c r="AF94" s="188"/>
      <c r="AG94" s="188"/>
      <c r="AH94" s="188"/>
      <c r="AI94" s="188"/>
      <c r="AJ94" s="188"/>
      <c r="AK94" s="188"/>
      <c r="AL94" s="188"/>
      <c r="AM94" s="7"/>
    </row>
    <row r="95" spans="1:40" ht="91" thickBot="1">
      <c r="A95" s="8" t="s">
        <v>129</v>
      </c>
      <c r="B95" s="9" t="s">
        <v>10</v>
      </c>
      <c r="C95" s="9" t="s">
        <v>11</v>
      </c>
      <c r="D95" s="9" t="s">
        <v>12</v>
      </c>
      <c r="E95" s="9" t="s">
        <v>13</v>
      </c>
      <c r="F95" s="9" t="s">
        <v>14</v>
      </c>
      <c r="G95" s="9" t="s">
        <v>15</v>
      </c>
      <c r="H95" s="9" t="s">
        <v>16</v>
      </c>
      <c r="I95" s="10" t="s">
        <v>17</v>
      </c>
      <c r="J95" s="11" t="s">
        <v>18</v>
      </c>
      <c r="K95" s="12" t="s">
        <v>19</v>
      </c>
      <c r="P95" s="8" t="s">
        <v>60</v>
      </c>
      <c r="Q95" s="9" t="s">
        <v>10</v>
      </c>
      <c r="R95" s="9" t="s">
        <v>11</v>
      </c>
      <c r="S95" s="9" t="s">
        <v>21</v>
      </c>
      <c r="T95" s="9" t="s">
        <v>22</v>
      </c>
      <c r="U95" s="9" t="s">
        <v>16</v>
      </c>
      <c r="V95" s="10" t="s">
        <v>17</v>
      </c>
      <c r="W95" s="15" t="s">
        <v>18</v>
      </c>
      <c r="X95" s="12" t="s">
        <v>19</v>
      </c>
      <c r="Y95" s="16"/>
      <c r="AB95" s="8" t="s">
        <v>130</v>
      </c>
      <c r="AC95" s="17" t="s">
        <v>24</v>
      </c>
      <c r="AD95" s="17" t="s">
        <v>25</v>
      </c>
      <c r="AE95" s="17" t="s">
        <v>26</v>
      </c>
      <c r="AF95" s="17" t="s">
        <v>27</v>
      </c>
      <c r="AG95" s="17" t="s">
        <v>28</v>
      </c>
      <c r="AH95" s="17" t="s">
        <v>29</v>
      </c>
      <c r="AI95" s="17" t="s">
        <v>30</v>
      </c>
      <c r="AJ95" s="17" t="s">
        <v>16</v>
      </c>
      <c r="AK95" s="18" t="s">
        <v>17</v>
      </c>
      <c r="AL95" s="18" t="s">
        <v>18</v>
      </c>
      <c r="AM95" s="19" t="s">
        <v>19</v>
      </c>
    </row>
    <row r="96" spans="1:40" ht="56">
      <c r="A96" s="20" t="s">
        <v>10</v>
      </c>
      <c r="B96" s="13"/>
      <c r="C96" s="13"/>
      <c r="D96" s="13"/>
      <c r="E96" s="13"/>
      <c r="F96" s="13"/>
      <c r="G96" s="13"/>
      <c r="H96" s="13"/>
      <c r="I96" s="21">
        <f t="shared" ref="I96:I103" si="68">SUM(B96:H96)</f>
        <v>0</v>
      </c>
      <c r="J96" s="22">
        <f t="shared" ref="J96:J102" si="69">1-K96</f>
        <v>0</v>
      </c>
      <c r="K96" s="23">
        <v>1</v>
      </c>
      <c r="P96" s="20" t="s">
        <v>10</v>
      </c>
      <c r="Q96" s="13"/>
      <c r="R96" s="13"/>
      <c r="S96" s="13"/>
      <c r="T96" s="13"/>
      <c r="U96" s="13"/>
      <c r="V96" s="21">
        <f t="shared" ref="V96:V101" si="70">SUM(Q96:U96)</f>
        <v>0</v>
      </c>
      <c r="W96" s="25">
        <f>1-X96</f>
        <v>0</v>
      </c>
      <c r="X96" s="23">
        <v>1</v>
      </c>
      <c r="Y96" s="21"/>
      <c r="AB96" s="26" t="s">
        <v>24</v>
      </c>
      <c r="AC96" s="27"/>
      <c r="AD96" s="28"/>
      <c r="AE96" s="28"/>
      <c r="AF96" s="28"/>
      <c r="AG96" s="28"/>
      <c r="AH96" s="28"/>
      <c r="AI96" s="28"/>
      <c r="AK96" s="29">
        <f t="shared" ref="AK96:AK102" si="71">SUM(AC96:AI96)</f>
        <v>0</v>
      </c>
      <c r="AL96" s="25">
        <f t="shared" ref="AL96:AL103" si="72">1-AM96</f>
        <v>0</v>
      </c>
      <c r="AM96" s="23">
        <v>1</v>
      </c>
    </row>
    <row r="97" spans="1:40" ht="45">
      <c r="A97" s="20" t="s">
        <v>11</v>
      </c>
      <c r="B97" s="13"/>
      <c r="C97" s="13"/>
      <c r="D97" s="13">
        <v>1</v>
      </c>
      <c r="E97" s="13"/>
      <c r="F97" s="13"/>
      <c r="G97" s="13"/>
      <c r="H97" s="13"/>
      <c r="I97" s="21">
        <f t="shared" si="68"/>
        <v>1</v>
      </c>
      <c r="J97" s="22">
        <f t="shared" si="69"/>
        <v>1</v>
      </c>
      <c r="K97" s="23">
        <f t="shared" ref="K97:K100" si="73">H97/I97</f>
        <v>0</v>
      </c>
      <c r="P97" s="20" t="s">
        <v>11</v>
      </c>
      <c r="Q97" s="13"/>
      <c r="R97" s="13"/>
      <c r="S97" s="13"/>
      <c r="T97" s="13"/>
      <c r="U97" s="13"/>
      <c r="V97" s="21">
        <f t="shared" si="70"/>
        <v>0</v>
      </c>
      <c r="W97" s="25">
        <f t="shared" ref="W97:W100" si="74">1-X97</f>
        <v>0</v>
      </c>
      <c r="X97" s="23">
        <v>1</v>
      </c>
      <c r="Y97" s="21"/>
      <c r="AB97" s="32" t="s">
        <v>25</v>
      </c>
      <c r="AC97" s="16"/>
      <c r="AD97" s="13">
        <v>22</v>
      </c>
      <c r="AE97" s="13"/>
      <c r="AF97" s="13"/>
      <c r="AG97" s="13"/>
      <c r="AH97" s="13"/>
      <c r="AI97" s="13"/>
      <c r="AK97" s="21">
        <f t="shared" si="71"/>
        <v>22</v>
      </c>
      <c r="AL97" s="25">
        <f t="shared" si="72"/>
        <v>1</v>
      </c>
      <c r="AM97" s="23">
        <f t="shared" ref="AM97:AM102" si="75">AJ97/AK97</f>
        <v>0</v>
      </c>
    </row>
    <row r="98" spans="1:40" ht="60">
      <c r="A98" s="20" t="s">
        <v>12</v>
      </c>
      <c r="B98" s="13"/>
      <c r="C98" s="13"/>
      <c r="D98" s="13"/>
      <c r="E98" s="13"/>
      <c r="F98" s="13"/>
      <c r="G98" s="13"/>
      <c r="H98" s="13"/>
      <c r="I98" s="21">
        <f t="shared" si="68"/>
        <v>0</v>
      </c>
      <c r="J98" s="22">
        <f t="shared" si="69"/>
        <v>0</v>
      </c>
      <c r="K98" s="23">
        <v>1</v>
      </c>
      <c r="P98" s="20" t="s">
        <v>21</v>
      </c>
      <c r="Q98" s="13"/>
      <c r="R98" s="13"/>
      <c r="S98" s="13">
        <v>8</v>
      </c>
      <c r="T98" s="13">
        <v>2</v>
      </c>
      <c r="U98" s="13"/>
      <c r="V98" s="21">
        <f t="shared" si="70"/>
        <v>10</v>
      </c>
      <c r="W98" s="25">
        <f t="shared" si="74"/>
        <v>0.19999999999999996</v>
      </c>
      <c r="X98" s="23">
        <f>S98/V98</f>
        <v>0.8</v>
      </c>
      <c r="Y98" s="21"/>
      <c r="AB98" s="32" t="s">
        <v>26</v>
      </c>
      <c r="AC98" s="16">
        <v>18</v>
      </c>
      <c r="AD98" s="13">
        <v>4</v>
      </c>
      <c r="AE98" s="13"/>
      <c r="AF98" s="13"/>
      <c r="AG98" s="13"/>
      <c r="AH98" s="13"/>
      <c r="AI98" s="13"/>
      <c r="AK98" s="21">
        <f t="shared" si="71"/>
        <v>22</v>
      </c>
      <c r="AL98" s="25">
        <f t="shared" si="72"/>
        <v>1</v>
      </c>
      <c r="AM98" s="23">
        <f t="shared" si="75"/>
        <v>0</v>
      </c>
    </row>
    <row r="99" spans="1:40" ht="45">
      <c r="A99" s="20" t="s">
        <v>13</v>
      </c>
      <c r="B99" s="13"/>
      <c r="C99" s="13"/>
      <c r="D99" s="13"/>
      <c r="E99" s="13">
        <v>7</v>
      </c>
      <c r="F99" s="13">
        <v>2</v>
      </c>
      <c r="G99" s="13"/>
      <c r="H99" s="13"/>
      <c r="I99" s="21">
        <f t="shared" si="68"/>
        <v>9</v>
      </c>
      <c r="J99" s="22">
        <f t="shared" si="69"/>
        <v>1</v>
      </c>
      <c r="K99" s="23">
        <f t="shared" si="73"/>
        <v>0</v>
      </c>
      <c r="P99" s="20" t="s">
        <v>22</v>
      </c>
      <c r="Q99" s="13"/>
      <c r="R99" s="13"/>
      <c r="S99" s="13"/>
      <c r="T99" s="13">
        <v>38</v>
      </c>
      <c r="U99" s="13"/>
      <c r="V99" s="21">
        <f t="shared" si="70"/>
        <v>38</v>
      </c>
      <c r="W99" s="25">
        <f t="shared" si="74"/>
        <v>0</v>
      </c>
      <c r="X99" s="23">
        <f>T99/V99</f>
        <v>1</v>
      </c>
      <c r="Y99" s="21"/>
      <c r="AB99" s="32" t="s">
        <v>27</v>
      </c>
      <c r="AC99" s="16"/>
      <c r="AD99" s="13"/>
      <c r="AE99" s="13"/>
      <c r="AF99" s="13"/>
      <c r="AG99" s="13"/>
      <c r="AH99" s="13"/>
      <c r="AI99" s="13"/>
      <c r="AK99" s="21">
        <f t="shared" si="71"/>
        <v>0</v>
      </c>
      <c r="AL99" s="25">
        <f t="shared" si="72"/>
        <v>0</v>
      </c>
      <c r="AM99" s="23">
        <v>1</v>
      </c>
    </row>
    <row r="100" spans="1:40" ht="45">
      <c r="A100" s="20" t="s">
        <v>14</v>
      </c>
      <c r="B100" s="13"/>
      <c r="C100" s="13"/>
      <c r="D100" s="13"/>
      <c r="E100" s="13"/>
      <c r="F100" s="13">
        <v>38</v>
      </c>
      <c r="G100" s="13"/>
      <c r="H100" s="13"/>
      <c r="I100" s="21">
        <f t="shared" si="68"/>
        <v>38</v>
      </c>
      <c r="J100" s="22">
        <f t="shared" si="69"/>
        <v>1</v>
      </c>
      <c r="K100" s="23">
        <f t="shared" si="73"/>
        <v>0</v>
      </c>
      <c r="P100" s="20" t="s">
        <v>16</v>
      </c>
      <c r="Q100" s="13"/>
      <c r="R100" s="13"/>
      <c r="S100" s="13"/>
      <c r="T100" s="13">
        <v>2</v>
      </c>
      <c r="U100" s="13"/>
      <c r="V100" s="21">
        <f t="shared" si="70"/>
        <v>2</v>
      </c>
      <c r="W100" s="25">
        <f t="shared" si="74"/>
        <v>1</v>
      </c>
      <c r="X100" s="23">
        <f>U100/V100</f>
        <v>0</v>
      </c>
      <c r="Y100" s="21"/>
      <c r="AB100" s="32" t="s">
        <v>28</v>
      </c>
      <c r="AC100" s="16">
        <v>1</v>
      </c>
      <c r="AD100" s="13"/>
      <c r="AE100" s="13"/>
      <c r="AF100" s="13"/>
      <c r="AG100" s="13"/>
      <c r="AH100" s="13"/>
      <c r="AI100" s="13"/>
      <c r="AK100" s="21">
        <f t="shared" si="71"/>
        <v>1</v>
      </c>
      <c r="AL100" s="25">
        <f t="shared" si="72"/>
        <v>1</v>
      </c>
      <c r="AM100" s="23">
        <f t="shared" si="75"/>
        <v>0</v>
      </c>
    </row>
    <row r="101" spans="1:40" ht="45">
      <c r="A101" s="20" t="s">
        <v>15</v>
      </c>
      <c r="B101" s="13"/>
      <c r="C101" s="13"/>
      <c r="D101" s="13"/>
      <c r="E101" s="13"/>
      <c r="F101" s="13"/>
      <c r="G101" s="13"/>
      <c r="H101" s="13"/>
      <c r="I101" s="21">
        <f t="shared" si="68"/>
        <v>0</v>
      </c>
      <c r="J101" s="22">
        <f t="shared" si="69"/>
        <v>0</v>
      </c>
      <c r="K101" s="23">
        <v>1</v>
      </c>
      <c r="P101" s="33" t="s">
        <v>17</v>
      </c>
      <c r="Q101" s="21">
        <f>SUM(Q96:Q100)</f>
        <v>0</v>
      </c>
      <c r="R101" s="21">
        <f>SUM(R96:R100)</f>
        <v>0</v>
      </c>
      <c r="S101" s="21">
        <f>SUM(S96:S100)</f>
        <v>8</v>
      </c>
      <c r="T101" s="21">
        <f>SUM(T96:T100)</f>
        <v>42</v>
      </c>
      <c r="U101" s="21">
        <f>SUM(U96:U100)</f>
        <v>0</v>
      </c>
      <c r="V101" s="21">
        <f t="shared" si="70"/>
        <v>50</v>
      </c>
      <c r="W101" s="21"/>
      <c r="X101" s="34"/>
      <c r="Y101" s="21"/>
      <c r="AB101" s="32" t="s">
        <v>29</v>
      </c>
      <c r="AC101" s="16">
        <v>1</v>
      </c>
      <c r="AD101" s="13"/>
      <c r="AE101" s="13"/>
      <c r="AF101" s="13"/>
      <c r="AG101" s="13"/>
      <c r="AH101" s="13"/>
      <c r="AI101" s="13"/>
      <c r="AK101" s="21">
        <f t="shared" si="71"/>
        <v>1</v>
      </c>
      <c r="AL101" s="25">
        <f t="shared" si="72"/>
        <v>1</v>
      </c>
      <c r="AM101" s="23">
        <f t="shared" si="75"/>
        <v>0</v>
      </c>
    </row>
    <row r="102" spans="1:40" ht="45">
      <c r="A102" s="20" t="s">
        <v>16</v>
      </c>
      <c r="B102" s="13"/>
      <c r="C102" s="13"/>
      <c r="D102" s="13"/>
      <c r="E102" s="13"/>
      <c r="F102" s="13">
        <v>2</v>
      </c>
      <c r="G102" s="13"/>
      <c r="H102" s="13"/>
      <c r="I102" s="21">
        <f t="shared" si="68"/>
        <v>2</v>
      </c>
      <c r="J102" s="22">
        <f t="shared" si="69"/>
        <v>1</v>
      </c>
      <c r="K102" s="23">
        <f>H102/I102</f>
        <v>0</v>
      </c>
      <c r="P102" s="33" t="s">
        <v>31</v>
      </c>
      <c r="Q102" s="25">
        <f>1-Q103</f>
        <v>0</v>
      </c>
      <c r="R102" s="25">
        <f t="shared" ref="R102:U102" si="76">1-R103</f>
        <v>0</v>
      </c>
      <c r="S102" s="25">
        <f t="shared" si="76"/>
        <v>0</v>
      </c>
      <c r="T102" s="25">
        <f t="shared" si="76"/>
        <v>9.5238095238095233E-2</v>
      </c>
      <c r="U102" s="25">
        <f t="shared" si="76"/>
        <v>0</v>
      </c>
      <c r="V102" s="13"/>
      <c r="W102" s="35" t="s">
        <v>32</v>
      </c>
      <c r="X102" s="36">
        <f>X107</f>
        <v>0.75728155339805836</v>
      </c>
      <c r="Y102" s="21"/>
      <c r="AB102" s="32" t="s">
        <v>30</v>
      </c>
      <c r="AC102" s="16">
        <v>1</v>
      </c>
      <c r="AD102" s="13"/>
      <c r="AE102" s="13"/>
      <c r="AF102" s="13"/>
      <c r="AG102" s="13"/>
      <c r="AH102" s="13"/>
      <c r="AI102" s="13"/>
      <c r="AK102" s="21">
        <f t="shared" si="71"/>
        <v>1</v>
      </c>
      <c r="AL102" s="25">
        <f t="shared" si="72"/>
        <v>1</v>
      </c>
      <c r="AM102" s="23">
        <f t="shared" si="75"/>
        <v>0</v>
      </c>
    </row>
    <row r="103" spans="1:40" ht="33" thickBot="1">
      <c r="A103" s="33" t="s">
        <v>17</v>
      </c>
      <c r="B103" s="21">
        <f t="shared" ref="B103:H103" si="77">SUM(B96:B102)</f>
        <v>0</v>
      </c>
      <c r="C103" s="21">
        <f t="shared" si="77"/>
        <v>0</v>
      </c>
      <c r="D103" s="21">
        <f t="shared" si="77"/>
        <v>1</v>
      </c>
      <c r="E103" s="21">
        <f t="shared" si="77"/>
        <v>7</v>
      </c>
      <c r="F103" s="21">
        <f t="shared" si="77"/>
        <v>42</v>
      </c>
      <c r="G103" s="21">
        <f t="shared" si="77"/>
        <v>0</v>
      </c>
      <c r="H103" s="21">
        <f t="shared" si="77"/>
        <v>0</v>
      </c>
      <c r="I103" s="21">
        <f t="shared" si="68"/>
        <v>50</v>
      </c>
      <c r="J103" s="37"/>
      <c r="K103" s="34"/>
      <c r="P103" s="38" t="s">
        <v>33</v>
      </c>
      <c r="Q103" s="40">
        <v>1</v>
      </c>
      <c r="R103" s="40">
        <v>1</v>
      </c>
      <c r="S103" s="40">
        <f>S98/S101</f>
        <v>1</v>
      </c>
      <c r="T103" s="40">
        <f>T99/T101</f>
        <v>0.90476190476190477</v>
      </c>
      <c r="U103" s="40">
        <v>1</v>
      </c>
      <c r="V103" s="41"/>
      <c r="W103" s="42" t="s">
        <v>34</v>
      </c>
      <c r="X103" s="43">
        <f>Y104</f>
        <v>0.92</v>
      </c>
      <c r="Y103" s="44"/>
      <c r="AB103" s="60" t="s">
        <v>16</v>
      </c>
      <c r="AC103" s="16">
        <v>3</v>
      </c>
      <c r="AK103" s="21">
        <f>SUM(AC103:AJ103)</f>
        <v>3</v>
      </c>
      <c r="AL103" s="25">
        <f t="shared" si="72"/>
        <v>1</v>
      </c>
      <c r="AM103" s="23">
        <f>AJ103/AK103</f>
        <v>0</v>
      </c>
    </row>
    <row r="104" spans="1:40" ht="28">
      <c r="A104" s="33" t="s">
        <v>31</v>
      </c>
      <c r="B104" s="25">
        <f>1-B105</f>
        <v>0</v>
      </c>
      <c r="C104" s="25">
        <f t="shared" ref="C104:H104" si="78">1-C105</f>
        <v>0</v>
      </c>
      <c r="D104" s="25">
        <f t="shared" si="78"/>
        <v>0</v>
      </c>
      <c r="E104" s="25">
        <f t="shared" si="78"/>
        <v>0</v>
      </c>
      <c r="F104" s="25">
        <f t="shared" si="78"/>
        <v>9.5238095238095233E-2</v>
      </c>
      <c r="G104" s="25">
        <f t="shared" si="78"/>
        <v>0</v>
      </c>
      <c r="H104" s="25">
        <f t="shared" si="78"/>
        <v>0</v>
      </c>
      <c r="I104" s="13"/>
      <c r="J104" s="35" t="s">
        <v>32</v>
      </c>
      <c r="K104" s="36">
        <f>K109</f>
        <v>0.70273483947681337</v>
      </c>
      <c r="P104" s="129" t="s">
        <v>136</v>
      </c>
      <c r="W104" s="4"/>
      <c r="Y104" s="50">
        <f>SUM(Q96,R97,S98,T99,U100)/V101</f>
        <v>0.92</v>
      </c>
      <c r="AB104" s="33" t="s">
        <v>17</v>
      </c>
      <c r="AC104" s="21">
        <f t="shared" ref="AC104:AI104" si="79">SUM(AC96:AC103)</f>
        <v>24</v>
      </c>
      <c r="AD104" s="21">
        <f t="shared" si="79"/>
        <v>26</v>
      </c>
      <c r="AE104" s="21">
        <f t="shared" si="79"/>
        <v>0</v>
      </c>
      <c r="AF104" s="21">
        <f t="shared" si="79"/>
        <v>0</v>
      </c>
      <c r="AG104" s="21">
        <f t="shared" si="79"/>
        <v>0</v>
      </c>
      <c r="AH104" s="21">
        <f t="shared" si="79"/>
        <v>0</v>
      </c>
      <c r="AI104" s="21">
        <f t="shared" si="79"/>
        <v>0</v>
      </c>
      <c r="AJ104" s="21">
        <f>SUM(AJ96:AJ103)</f>
        <v>0</v>
      </c>
      <c r="AK104" s="21">
        <f>SUM(AC104:AJ104)</f>
        <v>50</v>
      </c>
      <c r="AM104" s="51"/>
    </row>
    <row r="105" spans="1:40" ht="33" thickBot="1">
      <c r="A105" s="38" t="s">
        <v>33</v>
      </c>
      <c r="B105" s="39">
        <v>1</v>
      </c>
      <c r="C105" s="40">
        <v>1</v>
      </c>
      <c r="D105" s="40">
        <v>1</v>
      </c>
      <c r="E105" s="40">
        <f>E99/E103</f>
        <v>1</v>
      </c>
      <c r="F105" s="40">
        <f>F100/F103</f>
        <v>0.90476190476190477</v>
      </c>
      <c r="G105" s="40">
        <v>1</v>
      </c>
      <c r="H105" s="39">
        <v>1</v>
      </c>
      <c r="I105" s="41"/>
      <c r="J105" s="42" t="s">
        <v>34</v>
      </c>
      <c r="K105" s="43">
        <f>L106</f>
        <v>0.9</v>
      </c>
      <c r="P105" s="141" t="s">
        <v>135</v>
      </c>
      <c r="Q105" s="122">
        <f>Q101*V96</f>
        <v>0</v>
      </c>
      <c r="R105" s="122">
        <f>R101*V97</f>
        <v>0</v>
      </c>
      <c r="S105" s="122">
        <f>S101*V98</f>
        <v>80</v>
      </c>
      <c r="T105" s="122">
        <f>T101*V99</f>
        <v>1596</v>
      </c>
      <c r="U105" s="122">
        <f>U101*V100</f>
        <v>0</v>
      </c>
      <c r="V105" s="123">
        <f>SUM(Q105:U105)</f>
        <v>1676</v>
      </c>
      <c r="W105" s="128"/>
      <c r="X105" s="123"/>
      <c r="Y105" s="44"/>
      <c r="AB105" s="33" t="s">
        <v>35</v>
      </c>
      <c r="AC105" s="53">
        <f>1-AC106</f>
        <v>1</v>
      </c>
      <c r="AD105" s="54">
        <f>1-AD106</f>
        <v>0.15384615384615385</v>
      </c>
      <c r="AE105" s="54">
        <f t="shared" ref="AE105:AJ105" si="80">1-AE106</f>
        <v>0</v>
      </c>
      <c r="AF105" s="54">
        <f t="shared" si="80"/>
        <v>0</v>
      </c>
      <c r="AG105" s="54">
        <f t="shared" si="80"/>
        <v>0</v>
      </c>
      <c r="AH105" s="54">
        <f t="shared" si="80"/>
        <v>0</v>
      </c>
      <c r="AI105" s="54">
        <f t="shared" si="80"/>
        <v>0</v>
      </c>
      <c r="AJ105" s="54">
        <f t="shared" si="80"/>
        <v>0</v>
      </c>
      <c r="AL105" s="35" t="s">
        <v>32</v>
      </c>
      <c r="AM105" s="36">
        <f>AM110</f>
        <v>0.27385892116182575</v>
      </c>
    </row>
    <row r="106" spans="1:40" ht="33" thickBot="1">
      <c r="A106" s="129" t="s">
        <v>136</v>
      </c>
      <c r="J106" s="4"/>
      <c r="L106" s="50">
        <f>SUM(B96,C97,D98,E99,F100,G101,H102)/I103</f>
        <v>0.9</v>
      </c>
      <c r="P106" s="142" t="s">
        <v>134</v>
      </c>
      <c r="Q106" s="124">
        <f>(Q101*$V96)+(Q101*$V97)+(Q101*$V98)+(Q101*$V99)+(Q101*$V100)</f>
        <v>0</v>
      </c>
      <c r="R106" s="124">
        <f t="shared" ref="R106:U106" si="81">(R101*$V96)+(R101*$V97)+(R101*$V98)+(R101*$V99)+(R101*$V100)</f>
        <v>0</v>
      </c>
      <c r="S106" s="124">
        <f t="shared" si="81"/>
        <v>400</v>
      </c>
      <c r="T106" s="124">
        <f t="shared" si="81"/>
        <v>2100</v>
      </c>
      <c r="U106" s="124">
        <f t="shared" si="81"/>
        <v>0</v>
      </c>
      <c r="V106" s="125">
        <f>SUM(Q106:U106)</f>
        <v>2500</v>
      </c>
      <c r="W106" s="127"/>
      <c r="X106" s="125" t="s">
        <v>32</v>
      </c>
      <c r="Y106" s="44"/>
      <c r="AB106" s="38" t="s">
        <v>33</v>
      </c>
      <c r="AC106" s="56">
        <f>AC96/AC104</f>
        <v>0</v>
      </c>
      <c r="AD106" s="57">
        <f>AD97/AD104</f>
        <v>0.84615384615384615</v>
      </c>
      <c r="AE106" s="57">
        <v>1</v>
      </c>
      <c r="AF106" s="57">
        <v>1</v>
      </c>
      <c r="AG106" s="57">
        <v>1</v>
      </c>
      <c r="AH106" s="57">
        <v>1</v>
      </c>
      <c r="AI106" s="57">
        <v>1</v>
      </c>
      <c r="AJ106" s="57">
        <v>1</v>
      </c>
      <c r="AK106" s="41"/>
      <c r="AL106" s="42" t="s">
        <v>34</v>
      </c>
      <c r="AM106" s="43">
        <f>AN107</f>
        <v>0.44</v>
      </c>
    </row>
    <row r="107" spans="1:40" ht="29" thickTop="1">
      <c r="A107" s="130" t="s">
        <v>135</v>
      </c>
      <c r="B107" s="122">
        <f>B103*I96</f>
        <v>0</v>
      </c>
      <c r="C107" s="122">
        <f>C103*I97</f>
        <v>0</v>
      </c>
      <c r="D107" s="122">
        <f>D103*I98</f>
        <v>0</v>
      </c>
      <c r="E107" s="122">
        <f>E103*I99</f>
        <v>63</v>
      </c>
      <c r="F107" s="122">
        <f>F103*I100</f>
        <v>1596</v>
      </c>
      <c r="G107" s="122">
        <f>G103*I101</f>
        <v>0</v>
      </c>
      <c r="H107" s="122">
        <f>H103*I102</f>
        <v>0</v>
      </c>
      <c r="I107" s="123">
        <f>SUM(B107:H107)</f>
        <v>1659</v>
      </c>
      <c r="J107" s="128"/>
      <c r="K107" s="123"/>
      <c r="L107" s="44"/>
      <c r="P107" s="13"/>
      <c r="Q107" s="115"/>
      <c r="R107" s="115"/>
      <c r="S107" s="115"/>
      <c r="T107" s="115"/>
      <c r="U107" s="115"/>
      <c r="V107" t="s">
        <v>110</v>
      </c>
      <c r="W107" s="102">
        <f>Y104</f>
        <v>0.92</v>
      </c>
      <c r="X107" s="104">
        <f>(W107-W108)/(1-W108)</f>
        <v>0.75728155339805836</v>
      </c>
      <c r="Y107" s="44"/>
      <c r="AB107" s="129" t="s">
        <v>136</v>
      </c>
      <c r="AL107" s="4"/>
      <c r="AN107" s="50">
        <f>SUM(AC96,AD97,AE98,AF99,AG100,AH101,AI102,AJ103)/AK104</f>
        <v>0.44</v>
      </c>
    </row>
    <row r="108" spans="1:40" ht="43" thickBot="1">
      <c r="A108" s="131" t="s">
        <v>134</v>
      </c>
      <c r="B108" s="124">
        <f>(B103*$I96)+(B103*$I97)+(B103*$I98)+(B103*$I99)+(B103*$I100)+(B103*$I101)+(B103*$I102)</f>
        <v>0</v>
      </c>
      <c r="C108" s="124">
        <f t="shared" ref="C108:I108" si="82">(C103*$I96)+(C103*$I97)+(C103*$I98)+(C103*$I99)+(C103*$I100)+(C103*$I101)+(C103*$I102)</f>
        <v>0</v>
      </c>
      <c r="D108" s="124">
        <f t="shared" si="82"/>
        <v>50</v>
      </c>
      <c r="E108" s="124">
        <f t="shared" si="82"/>
        <v>350</v>
      </c>
      <c r="F108" s="124">
        <f t="shared" si="82"/>
        <v>2100</v>
      </c>
      <c r="G108" s="124">
        <f t="shared" si="82"/>
        <v>0</v>
      </c>
      <c r="H108" s="124">
        <f>(H103*$I96)+(H103*$I97)+(H103*$I98)+(H103*$I99)+(H103*$I100)+(H103*$I101)+(H103*$I102)</f>
        <v>0</v>
      </c>
      <c r="I108" s="125">
        <f>SUM(B108:H108)</f>
        <v>2500</v>
      </c>
      <c r="J108" s="127"/>
      <c r="K108" s="125" t="s">
        <v>32</v>
      </c>
      <c r="L108" s="44"/>
      <c r="P108" s="187"/>
      <c r="Q108" s="115"/>
      <c r="R108" s="115"/>
      <c r="S108" s="115"/>
      <c r="T108" s="115"/>
      <c r="U108" s="115"/>
      <c r="V108" t="s">
        <v>111</v>
      </c>
      <c r="W108" s="103">
        <f>V105/V106</f>
        <v>0.6704</v>
      </c>
      <c r="X108" s="101"/>
      <c r="AB108" s="141" t="s">
        <v>135</v>
      </c>
      <c r="AC108" s="122">
        <f>AC104*AK96</f>
        <v>0</v>
      </c>
      <c r="AD108" s="122">
        <f>AD104*AK97</f>
        <v>572</v>
      </c>
      <c r="AE108" s="122">
        <f>AE104*AK98</f>
        <v>0</v>
      </c>
      <c r="AF108" s="122">
        <f>AF104*AK99</f>
        <v>0</v>
      </c>
      <c r="AG108" s="122">
        <f>AG104*AK100</f>
        <v>0</v>
      </c>
      <c r="AH108" s="122">
        <f>AH104*AK101</f>
        <v>0</v>
      </c>
      <c r="AI108" s="122">
        <f>AI104*AK102</f>
        <v>0</v>
      </c>
      <c r="AJ108" s="122">
        <f>AJ104*AK103</f>
        <v>0</v>
      </c>
      <c r="AK108" s="123">
        <f>SUM(AC108:AJ108)</f>
        <v>572</v>
      </c>
      <c r="AL108" s="128"/>
      <c r="AM108" s="123"/>
      <c r="AN108" s="44"/>
    </row>
    <row r="109" spans="1:40" ht="30" thickTop="1" thickBot="1">
      <c r="A109" s="13"/>
      <c r="B109" s="115"/>
      <c r="C109" s="115"/>
      <c r="D109" s="115"/>
      <c r="E109" s="115"/>
      <c r="F109" s="115"/>
      <c r="G109" s="115"/>
      <c r="H109" s="115"/>
      <c r="I109" t="s">
        <v>110</v>
      </c>
      <c r="J109" s="102">
        <f>L106</f>
        <v>0.9</v>
      </c>
      <c r="K109" s="104">
        <f>(J109-J110)/(1-J110)</f>
        <v>0.70273483947681337</v>
      </c>
      <c r="L109" s="44"/>
      <c r="Q109" s="100"/>
      <c r="R109" s="100"/>
      <c r="S109" s="100"/>
      <c r="T109" s="100"/>
      <c r="U109" s="100"/>
      <c r="V109" s="111"/>
      <c r="W109" s="132"/>
      <c r="X109" s="133"/>
      <c r="AB109" s="142" t="s">
        <v>134</v>
      </c>
      <c r="AC109" s="124">
        <f>(AC104*$AK96)+(AC104*$AK97)+(AC104*$AK98)+(AC104*$AK99)+(AC104*$AK100)+(AC104*$AK101)+(AC104*$AK102)+(AC104*$AK103)</f>
        <v>1200</v>
      </c>
      <c r="AD109" s="124">
        <f t="shared" ref="AD109:AJ109" si="83">(AD104*$AK96)+(AD104*$AK97)+(AD104*$AK98)+(AD104*$AK99)+(AD104*$AK100)+(AD104*$AK101)+(AD104*$AK102)+(AD104*$AK103)</f>
        <v>1300</v>
      </c>
      <c r="AE109" s="124">
        <f t="shared" si="83"/>
        <v>0</v>
      </c>
      <c r="AF109" s="124">
        <f t="shared" si="83"/>
        <v>0</v>
      </c>
      <c r="AG109" s="124">
        <f t="shared" si="83"/>
        <v>0</v>
      </c>
      <c r="AH109" s="124">
        <f t="shared" si="83"/>
        <v>0</v>
      </c>
      <c r="AI109" s="124">
        <f t="shared" si="83"/>
        <v>0</v>
      </c>
      <c r="AJ109" s="124">
        <f t="shared" si="83"/>
        <v>0</v>
      </c>
      <c r="AK109" s="125">
        <f>SUM(AC109:AJ109)</f>
        <v>2500</v>
      </c>
      <c r="AL109" s="127"/>
      <c r="AM109" s="125" t="s">
        <v>32</v>
      </c>
      <c r="AN109" s="44"/>
    </row>
    <row r="110" spans="1:40" ht="22" thickTop="1">
      <c r="A110" s="187"/>
      <c r="B110" s="115"/>
      <c r="C110" s="115"/>
      <c r="D110" s="115"/>
      <c r="E110" s="115"/>
      <c r="F110" s="115"/>
      <c r="G110" s="115"/>
      <c r="H110" s="115"/>
      <c r="I110" t="s">
        <v>111</v>
      </c>
      <c r="J110" s="103">
        <f>I107/I108</f>
        <v>0.66359999999999997</v>
      </c>
      <c r="K110" s="101"/>
      <c r="Q110" s="100"/>
      <c r="R110" s="100"/>
      <c r="S110" s="100"/>
      <c r="T110" s="100"/>
      <c r="U110" s="100"/>
      <c r="V110" s="111"/>
      <c r="W110" s="132"/>
      <c r="X110" s="101"/>
      <c r="AB110" s="187"/>
      <c r="AC110" s="13"/>
      <c r="AD110" s="115"/>
      <c r="AE110" s="115"/>
      <c r="AF110" s="115"/>
      <c r="AG110" s="115"/>
      <c r="AH110" s="115"/>
      <c r="AK110" t="s">
        <v>110</v>
      </c>
      <c r="AL110" s="102">
        <f>AN107</f>
        <v>0.44</v>
      </c>
      <c r="AM110" s="104">
        <f>(AL110-AL111)/(1-AL111)</f>
        <v>0.27385892116182575</v>
      </c>
      <c r="AN110" s="44"/>
    </row>
    <row r="111" spans="1:40" ht="21">
      <c r="B111" s="126"/>
      <c r="C111" s="126"/>
      <c r="D111" s="126"/>
      <c r="E111" s="126"/>
      <c r="F111" s="126"/>
      <c r="G111" s="126"/>
      <c r="H111" s="126"/>
      <c r="I111" s="134"/>
      <c r="J111" s="135"/>
      <c r="K111" s="134"/>
      <c r="L111" s="137"/>
      <c r="AB111" s="59"/>
      <c r="AC111" s="187"/>
      <c r="AD111" s="115"/>
      <c r="AE111" s="115"/>
      <c r="AF111" s="115"/>
      <c r="AG111" s="115"/>
      <c r="AH111" s="115"/>
      <c r="AK111" t="s">
        <v>111</v>
      </c>
      <c r="AL111" s="103">
        <f>AK108/AK109</f>
        <v>0.2288</v>
      </c>
      <c r="AM111" s="101"/>
    </row>
    <row r="112" spans="1:40" ht="21">
      <c r="B112" s="126"/>
      <c r="C112" s="126"/>
      <c r="D112" s="126"/>
      <c r="E112" s="126"/>
      <c r="F112" s="126"/>
      <c r="G112" s="126"/>
      <c r="H112" s="126"/>
      <c r="I112" s="137"/>
      <c r="J112" s="134"/>
      <c r="K112" s="135"/>
      <c r="L112" s="137"/>
      <c r="AC112" s="126"/>
      <c r="AD112" s="126"/>
      <c r="AE112" s="126"/>
      <c r="AF112" s="126"/>
      <c r="AG112" s="126"/>
      <c r="AH112" s="126"/>
      <c r="AI112" s="126"/>
      <c r="AJ112" s="126"/>
      <c r="AK112" s="137"/>
      <c r="AL112" s="137"/>
      <c r="AM112" s="137"/>
    </row>
    <row r="113" spans="1:40" ht="21">
      <c r="B113" s="126"/>
      <c r="C113" s="126"/>
      <c r="D113" s="126"/>
      <c r="E113" s="126"/>
      <c r="F113" s="126"/>
      <c r="G113" s="126"/>
      <c r="H113" s="126"/>
      <c r="I113" s="137"/>
      <c r="J113" s="138"/>
      <c r="K113" s="139"/>
      <c r="L113" s="137"/>
      <c r="AC113" s="126"/>
      <c r="AD113" s="126"/>
      <c r="AE113" s="126"/>
      <c r="AF113" s="126"/>
      <c r="AG113" s="126"/>
      <c r="AH113" s="126"/>
      <c r="AI113" s="126"/>
      <c r="AJ113" s="126"/>
      <c r="AK113" s="137"/>
      <c r="AL113" s="137"/>
      <c r="AM113" s="137"/>
    </row>
    <row r="115" spans="1:40" ht="21">
      <c r="A115" s="191" t="s">
        <v>131</v>
      </c>
      <c r="B115" s="191"/>
      <c r="C115" s="191"/>
      <c r="D115" s="191"/>
      <c r="E115" s="191"/>
      <c r="F115" s="191"/>
      <c r="G115" s="191"/>
      <c r="H115" s="191"/>
      <c r="I115" s="191"/>
      <c r="J115" s="191"/>
      <c r="K115" s="191"/>
      <c r="P115" s="191" t="s">
        <v>132</v>
      </c>
      <c r="Q115" s="191"/>
      <c r="R115" s="191"/>
      <c r="S115" s="191"/>
      <c r="T115" s="191"/>
      <c r="U115" s="191"/>
      <c r="V115" s="191"/>
      <c r="W115" s="191"/>
      <c r="X115" s="191"/>
      <c r="Y115" s="191"/>
      <c r="AB115" s="191" t="s">
        <v>132</v>
      </c>
      <c r="AC115" s="191"/>
      <c r="AD115" s="191"/>
      <c r="AE115" s="191"/>
      <c r="AF115" s="191"/>
      <c r="AG115" s="191"/>
      <c r="AH115" s="191"/>
      <c r="AI115" s="191"/>
      <c r="AJ115" s="191"/>
      <c r="AK115" s="191"/>
      <c r="AL115" s="191"/>
      <c r="AM115" s="5"/>
      <c r="AN115" s="5"/>
    </row>
    <row r="116" spans="1:40" ht="21">
      <c r="A116" s="5"/>
      <c r="B116" s="5"/>
      <c r="C116" s="5"/>
      <c r="D116" s="5"/>
      <c r="E116" s="5"/>
      <c r="F116" s="5"/>
      <c r="G116" s="5"/>
      <c r="H116" s="5"/>
      <c r="I116" s="5"/>
      <c r="J116" s="4"/>
      <c r="K116" s="5"/>
      <c r="P116" s="5"/>
      <c r="Q116" s="5"/>
      <c r="R116" s="5"/>
      <c r="S116" s="5"/>
      <c r="T116" s="5"/>
      <c r="U116" s="5"/>
      <c r="V116" s="5"/>
      <c r="W116" s="5"/>
      <c r="X116" s="5"/>
      <c r="Y116" s="5"/>
      <c r="AB116" s="5"/>
      <c r="AC116" s="5"/>
      <c r="AD116" s="5"/>
      <c r="AE116" s="5"/>
      <c r="AF116" s="5"/>
      <c r="AG116" s="5"/>
      <c r="AH116" s="5"/>
      <c r="AI116" s="5"/>
      <c r="AJ116" s="5"/>
      <c r="AK116" s="5"/>
      <c r="AL116" s="5"/>
      <c r="AM116" s="5"/>
      <c r="AN116" s="5"/>
    </row>
    <row r="117" spans="1:40" ht="17" thickBot="1">
      <c r="A117" s="188" t="s">
        <v>8</v>
      </c>
      <c r="B117" s="188"/>
      <c r="C117" s="188"/>
      <c r="D117" s="188"/>
      <c r="E117" s="188"/>
      <c r="F117" s="188"/>
      <c r="G117" s="188"/>
      <c r="H117" s="188"/>
      <c r="I117" s="188"/>
      <c r="J117" s="188"/>
      <c r="K117" s="188"/>
      <c r="P117" s="188" t="s">
        <v>8</v>
      </c>
      <c r="Q117" s="188"/>
      <c r="R117" s="188"/>
      <c r="S117" s="188"/>
      <c r="T117" s="188"/>
      <c r="U117" s="188"/>
      <c r="V117" s="188"/>
      <c r="W117" s="188"/>
      <c r="X117" s="188"/>
      <c r="Y117" s="190"/>
      <c r="AB117" s="188" t="s">
        <v>8</v>
      </c>
      <c r="AC117" s="188"/>
      <c r="AD117" s="188"/>
      <c r="AE117" s="188"/>
      <c r="AF117" s="188"/>
      <c r="AG117" s="188"/>
      <c r="AH117" s="188"/>
      <c r="AI117" s="188"/>
      <c r="AJ117" s="188"/>
      <c r="AK117" s="188"/>
      <c r="AL117" s="188"/>
      <c r="AM117" s="7"/>
    </row>
    <row r="118" spans="1:40" ht="91" thickBot="1">
      <c r="A118" s="8" t="s">
        <v>129</v>
      </c>
      <c r="B118" s="9" t="s">
        <v>10</v>
      </c>
      <c r="C118" s="9" t="s">
        <v>11</v>
      </c>
      <c r="D118" s="9" t="s">
        <v>12</v>
      </c>
      <c r="E118" s="9" t="s">
        <v>13</v>
      </c>
      <c r="F118" s="9" t="s">
        <v>14</v>
      </c>
      <c r="G118" s="9" t="s">
        <v>15</v>
      </c>
      <c r="H118" s="9" t="s">
        <v>16</v>
      </c>
      <c r="I118" s="10" t="s">
        <v>17</v>
      </c>
      <c r="J118" s="11" t="s">
        <v>18</v>
      </c>
      <c r="K118" s="12" t="s">
        <v>19</v>
      </c>
      <c r="P118" s="8" t="s">
        <v>60</v>
      </c>
      <c r="Q118" s="9" t="s">
        <v>10</v>
      </c>
      <c r="R118" s="9" t="s">
        <v>11</v>
      </c>
      <c r="S118" s="9" t="s">
        <v>21</v>
      </c>
      <c r="T118" s="9" t="s">
        <v>22</v>
      </c>
      <c r="U118" s="9" t="s">
        <v>16</v>
      </c>
      <c r="V118" s="10" t="s">
        <v>17</v>
      </c>
      <c r="W118" s="15" t="s">
        <v>18</v>
      </c>
      <c r="X118" s="12" t="s">
        <v>19</v>
      </c>
      <c r="Y118" s="16"/>
      <c r="AB118" s="8" t="s">
        <v>130</v>
      </c>
      <c r="AC118" s="17" t="s">
        <v>24</v>
      </c>
      <c r="AD118" s="17" t="s">
        <v>25</v>
      </c>
      <c r="AE118" s="17" t="s">
        <v>26</v>
      </c>
      <c r="AF118" s="17" t="s">
        <v>27</v>
      </c>
      <c r="AG118" s="17" t="s">
        <v>28</v>
      </c>
      <c r="AH118" s="17" t="s">
        <v>29</v>
      </c>
      <c r="AI118" s="17" t="s">
        <v>30</v>
      </c>
      <c r="AJ118" s="17" t="s">
        <v>16</v>
      </c>
      <c r="AK118" s="18" t="s">
        <v>17</v>
      </c>
      <c r="AL118" s="18" t="s">
        <v>18</v>
      </c>
      <c r="AM118" s="19" t="s">
        <v>19</v>
      </c>
    </row>
    <row r="119" spans="1:40" ht="56">
      <c r="A119" s="20" t="s">
        <v>10</v>
      </c>
      <c r="B119" s="13"/>
      <c r="C119" s="13"/>
      <c r="D119" s="13"/>
      <c r="E119" s="13">
        <v>1</v>
      </c>
      <c r="F119" s="13"/>
      <c r="G119" s="13"/>
      <c r="H119" s="13"/>
      <c r="I119" s="21">
        <f t="shared" ref="I119:I126" si="84">SUM(B119:H119)</f>
        <v>1</v>
      </c>
      <c r="J119" s="109">
        <f t="shared" ref="J119:J125" si="85">1-K119</f>
        <v>1</v>
      </c>
      <c r="K119" s="108">
        <f t="shared" ref="K119:K123" si="86">H119/I119</f>
        <v>0</v>
      </c>
      <c r="P119" s="20" t="s">
        <v>10</v>
      </c>
      <c r="Q119" s="13"/>
      <c r="R119" s="13"/>
      <c r="S119" s="13">
        <v>1</v>
      </c>
      <c r="T119" s="13"/>
      <c r="U119" s="13"/>
      <c r="V119" s="21">
        <f t="shared" ref="V119:V124" si="87">SUM(Q119:U119)</f>
        <v>1</v>
      </c>
      <c r="W119" s="25">
        <f>1-X119</f>
        <v>1</v>
      </c>
      <c r="X119" s="23">
        <f>Q119/V119</f>
        <v>0</v>
      </c>
      <c r="Y119" s="21"/>
      <c r="AB119" s="26" t="s">
        <v>24</v>
      </c>
      <c r="AC119" s="27">
        <v>1</v>
      </c>
      <c r="AD119" s="28"/>
      <c r="AE119" s="28"/>
      <c r="AF119" s="28"/>
      <c r="AG119" s="28"/>
      <c r="AH119" s="28"/>
      <c r="AI119" s="28"/>
      <c r="AK119" s="29">
        <f t="shared" ref="AK119:AK125" si="88">SUM(AC119:AI119)</f>
        <v>1</v>
      </c>
      <c r="AL119" s="25">
        <f t="shared" ref="AL119:AL126" si="89">1-AM119</f>
        <v>1</v>
      </c>
      <c r="AM119" s="23">
        <f t="shared" ref="AM119:AM125" si="90">AJ119/AK119</f>
        <v>0</v>
      </c>
    </row>
    <row r="120" spans="1:40" ht="45">
      <c r="A120" s="20" t="s">
        <v>11</v>
      </c>
      <c r="B120" s="13"/>
      <c r="C120" s="13"/>
      <c r="D120" s="13"/>
      <c r="E120" s="13"/>
      <c r="F120" s="13"/>
      <c r="G120" s="13"/>
      <c r="H120" s="13"/>
      <c r="I120" s="21">
        <f t="shared" si="84"/>
        <v>0</v>
      </c>
      <c r="J120" s="109">
        <f t="shared" si="85"/>
        <v>0</v>
      </c>
      <c r="K120" s="108">
        <v>1</v>
      </c>
      <c r="P120" s="20" t="s">
        <v>11</v>
      </c>
      <c r="Q120" s="13"/>
      <c r="R120" s="13"/>
      <c r="S120" s="13"/>
      <c r="T120" s="13"/>
      <c r="U120" s="13"/>
      <c r="V120" s="21">
        <f t="shared" si="87"/>
        <v>0</v>
      </c>
      <c r="W120" s="25">
        <f t="shared" ref="W120:W123" si="91">1-X120</f>
        <v>0</v>
      </c>
      <c r="X120" s="23">
        <v>1</v>
      </c>
      <c r="Y120" s="21"/>
      <c r="AB120" s="32" t="s">
        <v>25</v>
      </c>
      <c r="AC120" s="16"/>
      <c r="AD120" s="13">
        <v>16</v>
      </c>
      <c r="AE120" s="13"/>
      <c r="AF120" s="13"/>
      <c r="AG120" s="13"/>
      <c r="AH120" s="13"/>
      <c r="AI120" s="13"/>
      <c r="AK120" s="21">
        <f t="shared" si="88"/>
        <v>16</v>
      </c>
      <c r="AL120" s="25">
        <f t="shared" si="89"/>
        <v>1</v>
      </c>
      <c r="AM120" s="23">
        <f t="shared" si="90"/>
        <v>0</v>
      </c>
    </row>
    <row r="121" spans="1:40" ht="60">
      <c r="A121" s="20" t="s">
        <v>12</v>
      </c>
      <c r="B121" s="13"/>
      <c r="C121" s="13"/>
      <c r="D121" s="13"/>
      <c r="E121" s="13"/>
      <c r="F121" s="13"/>
      <c r="G121" s="13"/>
      <c r="H121" s="13"/>
      <c r="I121" s="21">
        <f t="shared" si="84"/>
        <v>0</v>
      </c>
      <c r="J121" s="109">
        <f t="shared" si="85"/>
        <v>0</v>
      </c>
      <c r="K121" s="108">
        <v>1</v>
      </c>
      <c r="P121" s="20" t="s">
        <v>21</v>
      </c>
      <c r="Q121" s="13"/>
      <c r="R121" s="13"/>
      <c r="S121" s="13">
        <v>17</v>
      </c>
      <c r="T121" s="13"/>
      <c r="U121" s="13"/>
      <c r="V121" s="21">
        <f t="shared" si="87"/>
        <v>17</v>
      </c>
      <c r="W121" s="25">
        <f t="shared" si="91"/>
        <v>0</v>
      </c>
      <c r="X121" s="23">
        <f>S121/V121</f>
        <v>1</v>
      </c>
      <c r="Y121" s="21"/>
      <c r="AB121" s="32" t="s">
        <v>26</v>
      </c>
      <c r="AC121" s="16">
        <v>11</v>
      </c>
      <c r="AD121" s="13"/>
      <c r="AE121" s="13">
        <v>16</v>
      </c>
      <c r="AF121" s="13"/>
      <c r="AG121" s="13"/>
      <c r="AH121" s="13"/>
      <c r="AI121" s="13"/>
      <c r="AK121" s="21">
        <f t="shared" si="88"/>
        <v>27</v>
      </c>
      <c r="AL121" s="25">
        <f t="shared" si="89"/>
        <v>1</v>
      </c>
      <c r="AM121" s="23">
        <f t="shared" si="90"/>
        <v>0</v>
      </c>
    </row>
    <row r="122" spans="1:40" ht="45">
      <c r="A122" s="20" t="s">
        <v>13</v>
      </c>
      <c r="B122" s="13"/>
      <c r="C122" s="13"/>
      <c r="D122" s="13">
        <v>1</v>
      </c>
      <c r="E122" s="13">
        <v>16</v>
      </c>
      <c r="F122" s="13"/>
      <c r="G122" s="13"/>
      <c r="H122" s="13"/>
      <c r="I122" s="21">
        <f t="shared" si="84"/>
        <v>17</v>
      </c>
      <c r="J122" s="109">
        <f t="shared" si="85"/>
        <v>1</v>
      </c>
      <c r="K122" s="108">
        <f t="shared" si="86"/>
        <v>0</v>
      </c>
      <c r="P122" s="20" t="s">
        <v>22</v>
      </c>
      <c r="Q122" s="13"/>
      <c r="R122" s="13"/>
      <c r="S122" s="13">
        <v>10</v>
      </c>
      <c r="T122" s="13">
        <v>19</v>
      </c>
      <c r="U122" s="13"/>
      <c r="V122" s="21">
        <f t="shared" si="87"/>
        <v>29</v>
      </c>
      <c r="W122" s="25">
        <f t="shared" si="91"/>
        <v>0.34482758620689657</v>
      </c>
      <c r="X122" s="23">
        <f>T122/V122</f>
        <v>0.65517241379310343</v>
      </c>
      <c r="Y122" s="21"/>
      <c r="AB122" s="32" t="s">
        <v>27</v>
      </c>
      <c r="AC122" s="16"/>
      <c r="AD122" s="13"/>
      <c r="AE122" s="13"/>
      <c r="AF122" s="13"/>
      <c r="AG122" s="13"/>
      <c r="AH122" s="13"/>
      <c r="AI122" s="13"/>
      <c r="AK122" s="21">
        <f t="shared" si="88"/>
        <v>0</v>
      </c>
      <c r="AL122" s="25">
        <f t="shared" si="89"/>
        <v>0</v>
      </c>
      <c r="AM122" s="23">
        <v>1</v>
      </c>
    </row>
    <row r="123" spans="1:40" ht="45">
      <c r="A123" s="20" t="s">
        <v>14</v>
      </c>
      <c r="B123" s="13"/>
      <c r="C123" s="13"/>
      <c r="D123" s="13"/>
      <c r="E123" s="13">
        <v>10</v>
      </c>
      <c r="F123" s="13">
        <v>19</v>
      </c>
      <c r="G123" s="13"/>
      <c r="H123" s="13"/>
      <c r="I123" s="21">
        <f t="shared" si="84"/>
        <v>29</v>
      </c>
      <c r="J123" s="109">
        <f t="shared" si="85"/>
        <v>1</v>
      </c>
      <c r="K123" s="108">
        <f t="shared" si="86"/>
        <v>0</v>
      </c>
      <c r="P123" s="20" t="s">
        <v>16</v>
      </c>
      <c r="Q123" s="13"/>
      <c r="R123" s="13"/>
      <c r="S123" s="13">
        <v>2</v>
      </c>
      <c r="T123" s="13"/>
      <c r="U123" s="13"/>
      <c r="V123" s="21">
        <f t="shared" si="87"/>
        <v>2</v>
      </c>
      <c r="W123" s="25">
        <f t="shared" si="91"/>
        <v>1</v>
      </c>
      <c r="X123" s="23">
        <f>U123/V123</f>
        <v>0</v>
      </c>
      <c r="Y123" s="21"/>
      <c r="AB123" s="32" t="s">
        <v>28</v>
      </c>
      <c r="AC123" s="16"/>
      <c r="AD123" s="13"/>
      <c r="AE123" s="13"/>
      <c r="AF123" s="13"/>
      <c r="AG123" s="13"/>
      <c r="AH123" s="13"/>
      <c r="AI123" s="13"/>
      <c r="AK123" s="21">
        <f t="shared" si="88"/>
        <v>0</v>
      </c>
      <c r="AL123" s="25">
        <f t="shared" si="89"/>
        <v>0</v>
      </c>
      <c r="AM123" s="23">
        <v>1</v>
      </c>
    </row>
    <row r="124" spans="1:40" ht="45">
      <c r="A124" s="20" t="s">
        <v>15</v>
      </c>
      <c r="B124" s="13"/>
      <c r="C124" s="13"/>
      <c r="D124" s="13"/>
      <c r="E124" s="13"/>
      <c r="F124" s="13"/>
      <c r="G124" s="13"/>
      <c r="H124" s="13"/>
      <c r="I124" s="21">
        <f t="shared" si="84"/>
        <v>0</v>
      </c>
      <c r="J124" s="109">
        <f t="shared" si="85"/>
        <v>0</v>
      </c>
      <c r="K124" s="108">
        <v>1</v>
      </c>
      <c r="P124" s="33" t="s">
        <v>17</v>
      </c>
      <c r="Q124" s="21">
        <f>SUM(Q119:Q123)</f>
        <v>0</v>
      </c>
      <c r="R124" s="21">
        <f>SUM(R119:R123)</f>
        <v>0</v>
      </c>
      <c r="S124" s="21">
        <f>SUM(S119:S123)</f>
        <v>30</v>
      </c>
      <c r="T124" s="21">
        <f>SUM(T119:T123)</f>
        <v>19</v>
      </c>
      <c r="U124" s="21">
        <f>SUM(U119:U123)</f>
        <v>0</v>
      </c>
      <c r="V124" s="21">
        <f t="shared" si="87"/>
        <v>49</v>
      </c>
      <c r="W124" s="21"/>
      <c r="X124" s="34"/>
      <c r="Y124" s="21"/>
      <c r="AB124" s="32" t="s">
        <v>29</v>
      </c>
      <c r="AC124" s="16"/>
      <c r="AD124" s="13"/>
      <c r="AE124" s="13"/>
      <c r="AF124" s="13"/>
      <c r="AG124" s="13"/>
      <c r="AH124" s="13"/>
      <c r="AI124" s="13"/>
      <c r="AK124" s="21">
        <f t="shared" si="88"/>
        <v>0</v>
      </c>
      <c r="AL124" s="25">
        <f t="shared" si="89"/>
        <v>0</v>
      </c>
      <c r="AM124" s="23">
        <v>1</v>
      </c>
    </row>
    <row r="125" spans="1:40" ht="45">
      <c r="A125" s="20" t="s">
        <v>16</v>
      </c>
      <c r="B125" s="13"/>
      <c r="C125" s="13"/>
      <c r="D125" s="13"/>
      <c r="E125" s="13">
        <v>2</v>
      </c>
      <c r="F125" s="13"/>
      <c r="G125" s="13"/>
      <c r="H125" s="13"/>
      <c r="I125" s="21">
        <f t="shared" si="84"/>
        <v>2</v>
      </c>
      <c r="J125" s="109">
        <f t="shared" si="85"/>
        <v>1</v>
      </c>
      <c r="K125" s="108">
        <f>H125/I125</f>
        <v>0</v>
      </c>
      <c r="P125" s="33" t="s">
        <v>31</v>
      </c>
      <c r="Q125" s="25">
        <f>1-Q126</f>
        <v>0</v>
      </c>
      <c r="R125" s="25">
        <f t="shared" ref="R125:U125" si="92">1-R126</f>
        <v>0</v>
      </c>
      <c r="S125" s="25">
        <f t="shared" si="92"/>
        <v>0.43333333333333335</v>
      </c>
      <c r="T125" s="25">
        <f t="shared" si="92"/>
        <v>0</v>
      </c>
      <c r="U125" s="25">
        <f t="shared" si="92"/>
        <v>0</v>
      </c>
      <c r="V125" s="13"/>
      <c r="W125" s="35" t="s">
        <v>32</v>
      </c>
      <c r="X125" s="36">
        <f>X130</f>
        <v>0.52462686567164196</v>
      </c>
      <c r="Y125" s="21"/>
      <c r="AB125" s="32" t="s">
        <v>30</v>
      </c>
      <c r="AC125" s="16"/>
      <c r="AD125" s="13"/>
      <c r="AE125" s="13">
        <v>1</v>
      </c>
      <c r="AF125" s="13"/>
      <c r="AG125" s="13"/>
      <c r="AH125" s="13"/>
      <c r="AI125" s="13"/>
      <c r="AK125" s="21">
        <f t="shared" si="88"/>
        <v>1</v>
      </c>
      <c r="AL125" s="25">
        <f t="shared" si="89"/>
        <v>1</v>
      </c>
      <c r="AM125" s="23">
        <f t="shared" si="90"/>
        <v>0</v>
      </c>
    </row>
    <row r="126" spans="1:40" ht="33" thickBot="1">
      <c r="A126" s="33" t="s">
        <v>17</v>
      </c>
      <c r="B126" s="21">
        <f t="shared" ref="B126:H126" si="93">SUM(B119:B125)</f>
        <v>0</v>
      </c>
      <c r="C126" s="21">
        <f t="shared" si="93"/>
        <v>0</v>
      </c>
      <c r="D126" s="21">
        <f t="shared" si="93"/>
        <v>1</v>
      </c>
      <c r="E126" s="21">
        <f t="shared" si="93"/>
        <v>29</v>
      </c>
      <c r="F126" s="21">
        <f t="shared" si="93"/>
        <v>19</v>
      </c>
      <c r="G126" s="21">
        <f t="shared" si="93"/>
        <v>0</v>
      </c>
      <c r="H126" s="21">
        <f t="shared" si="93"/>
        <v>0</v>
      </c>
      <c r="I126" s="21">
        <f t="shared" si="84"/>
        <v>49</v>
      </c>
      <c r="J126" s="37"/>
      <c r="K126" s="34"/>
      <c r="P126" s="38" t="s">
        <v>33</v>
      </c>
      <c r="Q126" s="40">
        <v>1</v>
      </c>
      <c r="R126" s="40">
        <v>1</v>
      </c>
      <c r="S126" s="40">
        <f>S121/S124</f>
        <v>0.56666666666666665</v>
      </c>
      <c r="T126" s="40">
        <f>T122/T124</f>
        <v>1</v>
      </c>
      <c r="U126" s="40">
        <v>1</v>
      </c>
      <c r="V126" s="41"/>
      <c r="W126" s="42" t="s">
        <v>34</v>
      </c>
      <c r="X126" s="43">
        <f>Y127</f>
        <v>0.73469387755102045</v>
      </c>
      <c r="Y126" s="44"/>
      <c r="AB126" s="60" t="s">
        <v>16</v>
      </c>
      <c r="AC126" s="16"/>
      <c r="AE126" s="24">
        <v>3</v>
      </c>
      <c r="AF126" s="24"/>
      <c r="AG126" s="24"/>
      <c r="AH126" s="24"/>
      <c r="AI126" s="24"/>
      <c r="AJ126" s="24">
        <v>1</v>
      </c>
      <c r="AK126" s="21">
        <f>SUM(AC126:AJ126)</f>
        <v>4</v>
      </c>
      <c r="AL126" s="25">
        <f t="shared" si="89"/>
        <v>0.75</v>
      </c>
      <c r="AM126" s="23">
        <f>AJ126/AK126</f>
        <v>0.25</v>
      </c>
    </row>
    <row r="127" spans="1:40" ht="28">
      <c r="A127" s="33" t="s">
        <v>31</v>
      </c>
      <c r="B127" s="48">
        <f>1-B128</f>
        <v>0</v>
      </c>
      <c r="C127" s="48">
        <f t="shared" ref="C127:H127" si="94">1-C128</f>
        <v>0</v>
      </c>
      <c r="D127" s="48">
        <f t="shared" si="94"/>
        <v>0</v>
      </c>
      <c r="E127" s="48">
        <f t="shared" si="94"/>
        <v>0.44827586206896552</v>
      </c>
      <c r="F127" s="48">
        <f t="shared" si="94"/>
        <v>0</v>
      </c>
      <c r="G127" s="48">
        <f t="shared" si="94"/>
        <v>0</v>
      </c>
      <c r="H127" s="48">
        <f t="shared" si="94"/>
        <v>0</v>
      </c>
      <c r="I127" s="13"/>
      <c r="J127" s="35" t="s">
        <v>32</v>
      </c>
      <c r="K127" s="36">
        <f>K132</f>
        <v>0.49447310243183495</v>
      </c>
      <c r="P127" s="129" t="s">
        <v>136</v>
      </c>
      <c r="W127" s="4"/>
      <c r="Y127" s="50">
        <f>SUM(Q119,R120,S121,T122,U123)/V124</f>
        <v>0.73469387755102045</v>
      </c>
      <c r="AB127" s="33" t="s">
        <v>17</v>
      </c>
      <c r="AC127" s="21">
        <f t="shared" ref="AC127:AI127" si="95">SUM(AC119:AC126)</f>
        <v>12</v>
      </c>
      <c r="AD127" s="21">
        <f t="shared" si="95"/>
        <v>16</v>
      </c>
      <c r="AE127" s="21">
        <f t="shared" si="95"/>
        <v>20</v>
      </c>
      <c r="AF127" s="21">
        <f t="shared" si="95"/>
        <v>0</v>
      </c>
      <c r="AG127" s="21">
        <f t="shared" si="95"/>
        <v>0</v>
      </c>
      <c r="AH127" s="21">
        <f t="shared" si="95"/>
        <v>0</v>
      </c>
      <c r="AI127" s="21">
        <f t="shared" si="95"/>
        <v>0</v>
      </c>
      <c r="AJ127" s="21">
        <f>SUM(AJ119:AJ126)</f>
        <v>1</v>
      </c>
      <c r="AK127" s="21">
        <f>SUM(AC127:AJ127)</f>
        <v>49</v>
      </c>
      <c r="AM127" s="51"/>
    </row>
    <row r="128" spans="1:40" ht="33" thickBot="1">
      <c r="A128" s="38" t="s">
        <v>33</v>
      </c>
      <c r="B128" s="105">
        <v>1</v>
      </c>
      <c r="C128" s="106">
        <v>1</v>
      </c>
      <c r="D128" s="107">
        <v>1</v>
      </c>
      <c r="E128" s="107">
        <f>E122/E126</f>
        <v>0.55172413793103448</v>
      </c>
      <c r="F128" s="107">
        <f>F123/F126</f>
        <v>1</v>
      </c>
      <c r="G128" s="106">
        <v>1</v>
      </c>
      <c r="H128" s="105">
        <v>1</v>
      </c>
      <c r="I128" s="41"/>
      <c r="J128" s="42" t="s">
        <v>34</v>
      </c>
      <c r="K128" s="43">
        <f>L129</f>
        <v>0.7142857142857143</v>
      </c>
      <c r="P128" s="141" t="s">
        <v>135</v>
      </c>
      <c r="Q128" s="122">
        <f>Q124*V119</f>
        <v>0</v>
      </c>
      <c r="R128" s="122">
        <f>R124*V120</f>
        <v>0</v>
      </c>
      <c r="S128" s="122">
        <f>S124*V121</f>
        <v>510</v>
      </c>
      <c r="T128" s="122">
        <f>T124*V122</f>
        <v>551</v>
      </c>
      <c r="U128" s="122">
        <f>U124*V123</f>
        <v>0</v>
      </c>
      <c r="V128" s="123">
        <f>SUM(Q128:U128)</f>
        <v>1061</v>
      </c>
      <c r="W128" s="128"/>
      <c r="X128" s="123"/>
      <c r="Y128" s="44"/>
      <c r="AB128" s="33" t="s">
        <v>35</v>
      </c>
      <c r="AC128" s="53">
        <f>1-AC129</f>
        <v>0.91666666666666663</v>
      </c>
      <c r="AD128" s="54">
        <f>1-AD129</f>
        <v>0</v>
      </c>
      <c r="AE128" s="54">
        <f t="shared" ref="AE128:AJ128" si="96">1-AE129</f>
        <v>0.19999999999999996</v>
      </c>
      <c r="AF128" s="54">
        <f t="shared" si="96"/>
        <v>0</v>
      </c>
      <c r="AG128" s="54">
        <f t="shared" si="96"/>
        <v>0</v>
      </c>
      <c r="AH128" s="54">
        <f t="shared" si="96"/>
        <v>0</v>
      </c>
      <c r="AI128" s="54">
        <f t="shared" si="96"/>
        <v>0</v>
      </c>
      <c r="AJ128" s="54">
        <f t="shared" si="96"/>
        <v>1</v>
      </c>
      <c r="AL128" s="35" t="s">
        <v>32</v>
      </c>
      <c r="AM128" s="36">
        <f>AM133</f>
        <v>0.5374449339207048</v>
      </c>
    </row>
    <row r="129" spans="1:40" ht="33" thickBot="1">
      <c r="A129" s="129" t="s">
        <v>136</v>
      </c>
      <c r="J129" s="4"/>
      <c r="L129" s="50">
        <f>SUM(B119,C120,D121,E122,F123,G124,H125)/I126</f>
        <v>0.7142857142857143</v>
      </c>
      <c r="P129" s="142" t="s">
        <v>134</v>
      </c>
      <c r="Q129" s="124">
        <f>(Q124*$V119)+(Q124*$V120)+(Q124*$V121)+(Q124*$V122)+(Q124*$V123)</f>
        <v>0</v>
      </c>
      <c r="R129" s="124">
        <f t="shared" ref="R129:U129" si="97">(R124*$V119)+(R124*$V120)+(R124*$V121)+(R124*$V122)+(R124*$V123)</f>
        <v>0</v>
      </c>
      <c r="S129" s="124">
        <f t="shared" si="97"/>
        <v>1470</v>
      </c>
      <c r="T129" s="124">
        <f t="shared" si="97"/>
        <v>931</v>
      </c>
      <c r="U129" s="124">
        <f t="shared" si="97"/>
        <v>0</v>
      </c>
      <c r="V129" s="125">
        <f>SUM(Q129:U129)</f>
        <v>2401</v>
      </c>
      <c r="W129" s="127"/>
      <c r="X129" s="125" t="s">
        <v>32</v>
      </c>
      <c r="Y129" s="44"/>
      <c r="AB129" s="38" t="s">
        <v>33</v>
      </c>
      <c r="AC129" s="56">
        <f>AC119/AC127</f>
        <v>8.3333333333333329E-2</v>
      </c>
      <c r="AD129" s="57">
        <f>AD120/AD127</f>
        <v>1</v>
      </c>
      <c r="AE129" s="57">
        <f>AE121/AE127</f>
        <v>0.8</v>
      </c>
      <c r="AF129" s="57">
        <v>1</v>
      </c>
      <c r="AG129" s="57">
        <v>1</v>
      </c>
      <c r="AH129" s="57">
        <v>1</v>
      </c>
      <c r="AI129" s="57">
        <v>1</v>
      </c>
      <c r="AJ129" s="57">
        <f t="shared" ref="AJ129" si="98">AJ122/AJ127</f>
        <v>0</v>
      </c>
      <c r="AK129" s="41"/>
      <c r="AL129" s="42" t="s">
        <v>34</v>
      </c>
      <c r="AM129" s="43">
        <f>AN130</f>
        <v>0.69387755102040816</v>
      </c>
    </row>
    <row r="130" spans="1:40" ht="29" thickTop="1">
      <c r="A130" s="130" t="s">
        <v>135</v>
      </c>
      <c r="B130" s="122">
        <f>B126*I119</f>
        <v>0</v>
      </c>
      <c r="C130" s="122">
        <f>C126*I120</f>
        <v>0</v>
      </c>
      <c r="D130" s="122">
        <f>D126*I121</f>
        <v>0</v>
      </c>
      <c r="E130" s="122">
        <f>E126*I122</f>
        <v>493</v>
      </c>
      <c r="F130" s="122">
        <f>F126*I123</f>
        <v>551</v>
      </c>
      <c r="G130" s="122">
        <f>G126*I124</f>
        <v>0</v>
      </c>
      <c r="H130" s="122">
        <f>H126*I125</f>
        <v>0</v>
      </c>
      <c r="I130" s="123">
        <f>SUM(B130:H130)</f>
        <v>1044</v>
      </c>
      <c r="J130" s="128"/>
      <c r="K130" s="123"/>
      <c r="L130" s="44"/>
      <c r="P130" s="13"/>
      <c r="Q130" s="115"/>
      <c r="R130" s="115"/>
      <c r="S130" s="115"/>
      <c r="T130" s="115"/>
      <c r="U130" s="115"/>
      <c r="V130" t="s">
        <v>110</v>
      </c>
      <c r="W130" s="102">
        <f>Y127</f>
        <v>0.73469387755102045</v>
      </c>
      <c r="X130" s="104">
        <f>(W130-W131)/(1-W131)</f>
        <v>0.52462686567164196</v>
      </c>
      <c r="Y130" s="44"/>
      <c r="AB130" s="129" t="s">
        <v>136</v>
      </c>
      <c r="AL130" s="4"/>
      <c r="AN130" s="50">
        <f>SUM(AC119,AD120,AE121,AF122,AG123,AH124,AI125,AJ126)/AK127</f>
        <v>0.69387755102040816</v>
      </c>
    </row>
    <row r="131" spans="1:40" ht="43" thickBot="1">
      <c r="A131" s="131" t="s">
        <v>134</v>
      </c>
      <c r="B131" s="124">
        <f>(B126*$I119)+(B126*$I120)+(B126*$I121)+(B126*$I122)+(B126*$I123)+(B126*$I124)+(B126*$I125)</f>
        <v>0</v>
      </c>
      <c r="C131" s="124">
        <f t="shared" ref="B131:H131" si="99">(C126*$I119)+(C126*$I120)+(C126*$I121)+(C126*$I122)+(C126*$I123)+(C126*$I124)+(C126*$I125)</f>
        <v>0</v>
      </c>
      <c r="D131" s="124">
        <f t="shared" si="99"/>
        <v>49</v>
      </c>
      <c r="E131" s="124">
        <f t="shared" si="99"/>
        <v>1421</v>
      </c>
      <c r="F131" s="124">
        <f t="shared" si="99"/>
        <v>931</v>
      </c>
      <c r="G131" s="124">
        <f t="shared" si="99"/>
        <v>0</v>
      </c>
      <c r="H131" s="124">
        <f>(H126*$I119)+(H126*$I120)+(H126*$I121)+(H126*$I122)+(H126*$I123)+(H126*$I124)+(H126*$I125)</f>
        <v>0</v>
      </c>
      <c r="I131" s="125">
        <f>SUM(B131:H131)</f>
        <v>2401</v>
      </c>
      <c r="J131" s="127"/>
      <c r="K131" s="125" t="s">
        <v>32</v>
      </c>
      <c r="L131" s="44"/>
      <c r="P131" s="187"/>
      <c r="Q131" s="115"/>
      <c r="R131" s="115"/>
      <c r="S131" s="115"/>
      <c r="T131" s="115"/>
      <c r="U131" s="115"/>
      <c r="V131" t="s">
        <v>111</v>
      </c>
      <c r="W131" s="103">
        <f>V128/V129</f>
        <v>0.44189920866305704</v>
      </c>
      <c r="X131" s="101"/>
      <c r="AB131" s="141" t="s">
        <v>135</v>
      </c>
      <c r="AC131" s="122">
        <f>AC127*AK119</f>
        <v>12</v>
      </c>
      <c r="AD131" s="122">
        <f>AD127*AK120</f>
        <v>256</v>
      </c>
      <c r="AE131" s="122">
        <f>AE127*AK121</f>
        <v>540</v>
      </c>
      <c r="AF131" s="122">
        <f>AF127*AK122</f>
        <v>0</v>
      </c>
      <c r="AG131" s="122">
        <f>AG127*AK123</f>
        <v>0</v>
      </c>
      <c r="AH131" s="122">
        <f>AH127*AK124</f>
        <v>0</v>
      </c>
      <c r="AI131" s="122">
        <f>AI127*AK125</f>
        <v>0</v>
      </c>
      <c r="AJ131" s="122">
        <f>AJ127*AK126</f>
        <v>4</v>
      </c>
      <c r="AK131" s="123">
        <f>SUM(AC131:AJ131)</f>
        <v>812</v>
      </c>
      <c r="AL131" s="128"/>
      <c r="AM131" s="123"/>
      <c r="AN131" s="44"/>
    </row>
    <row r="132" spans="1:40" ht="30" thickTop="1" thickBot="1">
      <c r="A132" s="13"/>
      <c r="B132" s="115"/>
      <c r="C132" s="115"/>
      <c r="D132" s="115"/>
      <c r="E132" s="115"/>
      <c r="F132" s="115"/>
      <c r="G132" s="115"/>
      <c r="H132" s="115"/>
      <c r="I132" t="s">
        <v>110</v>
      </c>
      <c r="J132" s="102">
        <f>L129</f>
        <v>0.7142857142857143</v>
      </c>
      <c r="K132" s="104">
        <f>(J132-J133)/(1-J133)</f>
        <v>0.49447310243183495</v>
      </c>
      <c r="L132" s="44"/>
      <c r="Q132" s="100"/>
      <c r="R132" s="100"/>
      <c r="S132" s="100"/>
      <c r="T132" s="100"/>
      <c r="U132" s="100"/>
      <c r="V132" s="111"/>
      <c r="W132" s="132"/>
      <c r="X132" s="133"/>
      <c r="Y132" s="111"/>
      <c r="AB132" s="142" t="s">
        <v>134</v>
      </c>
      <c r="AC132" s="124">
        <f>(AC127*$AK119)+(AC127*$AK120)+(AC127*$AK121)+(AC127*$AK122)+(AC127*$AK123)+(AC127*$AK124)+(AC127*$AK125)+(AC127*$AK126)</f>
        <v>588</v>
      </c>
      <c r="AD132" s="124">
        <f t="shared" ref="AD132:AJ132" si="100">(AD127*$AK119)+(AD127*$AK120)+(AD127*$AK121)+(AD127*$AK122)+(AD127*$AK123)+(AD127*$AK124)+(AD127*$AK125)+(AD127*$AK126)</f>
        <v>784</v>
      </c>
      <c r="AE132" s="124">
        <f t="shared" si="100"/>
        <v>980</v>
      </c>
      <c r="AF132" s="124">
        <f t="shared" si="100"/>
        <v>0</v>
      </c>
      <c r="AG132" s="124">
        <f t="shared" si="100"/>
        <v>0</v>
      </c>
      <c r="AH132" s="124">
        <f t="shared" si="100"/>
        <v>0</v>
      </c>
      <c r="AI132" s="124">
        <f t="shared" si="100"/>
        <v>0</v>
      </c>
      <c r="AJ132" s="124">
        <f t="shared" si="100"/>
        <v>49</v>
      </c>
      <c r="AK132" s="125">
        <f>SUM(AC132:AJ132)</f>
        <v>2401</v>
      </c>
      <c r="AL132" s="127"/>
      <c r="AM132" s="125" t="s">
        <v>32</v>
      </c>
      <c r="AN132" s="44"/>
    </row>
    <row r="133" spans="1:40" ht="22" thickTop="1">
      <c r="A133" s="95"/>
      <c r="B133" s="115"/>
      <c r="C133" s="115"/>
      <c r="D133" s="115"/>
      <c r="E133" s="115"/>
      <c r="F133" s="115"/>
      <c r="G133" s="115"/>
      <c r="H133" s="115"/>
      <c r="I133" t="s">
        <v>111</v>
      </c>
      <c r="J133" s="103">
        <f>I130/I131</f>
        <v>0.43481882548937945</v>
      </c>
      <c r="K133" s="101"/>
      <c r="Q133" s="100"/>
      <c r="R133" s="100"/>
      <c r="S133" s="100"/>
      <c r="T133" s="100"/>
      <c r="U133" s="100"/>
      <c r="V133" s="111"/>
      <c r="W133" s="132"/>
      <c r="X133" s="101"/>
      <c r="Y133" s="111"/>
      <c r="AB133" s="95"/>
      <c r="AC133" s="13"/>
      <c r="AD133" s="115"/>
      <c r="AE133" s="115"/>
      <c r="AF133" s="115"/>
      <c r="AG133" s="115"/>
      <c r="AH133" s="115"/>
      <c r="AK133" t="s">
        <v>110</v>
      </c>
      <c r="AL133" s="102">
        <f>AN130</f>
        <v>0.69387755102040816</v>
      </c>
      <c r="AM133" s="104">
        <f>(AL133-AL134)/(1-AL134)</f>
        <v>0.5374449339207048</v>
      </c>
      <c r="AN133" s="44"/>
    </row>
    <row r="134" spans="1:40" ht="21">
      <c r="B134" s="126"/>
      <c r="C134" s="126"/>
      <c r="D134" s="126"/>
      <c r="E134" s="126"/>
      <c r="F134" s="126"/>
      <c r="G134" s="126"/>
      <c r="H134" s="126"/>
      <c r="I134" s="134"/>
      <c r="J134" s="135"/>
      <c r="K134" s="134"/>
      <c r="AB134" s="59"/>
      <c r="AC134" s="95"/>
      <c r="AD134" s="115"/>
      <c r="AE134" s="115"/>
      <c r="AF134" s="115"/>
      <c r="AG134" s="115"/>
      <c r="AH134" s="115"/>
      <c r="AK134" t="s">
        <v>111</v>
      </c>
      <c r="AL134" s="103">
        <f>AK131/AK132</f>
        <v>0.33819241982507287</v>
      </c>
      <c r="AM134" s="101"/>
    </row>
    <row r="135" spans="1:40" ht="21">
      <c r="B135" s="126"/>
      <c r="C135" s="126"/>
      <c r="D135" s="126"/>
      <c r="E135" s="126"/>
      <c r="F135" s="126"/>
      <c r="G135" s="126"/>
      <c r="H135" s="126"/>
      <c r="I135" s="137"/>
      <c r="J135" s="134"/>
      <c r="K135" s="135"/>
      <c r="AC135" s="126"/>
      <c r="AD135" s="126"/>
      <c r="AE135" s="126"/>
      <c r="AF135" s="126"/>
      <c r="AG135" s="126"/>
      <c r="AH135" s="126"/>
      <c r="AI135" s="126"/>
      <c r="AJ135" s="126"/>
      <c r="AK135" s="137"/>
      <c r="AL135" s="137"/>
      <c r="AM135" s="137"/>
    </row>
    <row r="136" spans="1:40" ht="21">
      <c r="B136" s="126"/>
      <c r="C136" s="126"/>
      <c r="D136" s="126"/>
      <c r="E136" s="126"/>
      <c r="F136" s="126"/>
      <c r="G136" s="126"/>
      <c r="H136" s="126"/>
      <c r="I136" s="137"/>
      <c r="J136" s="138"/>
      <c r="K136" s="139"/>
      <c r="AC136" s="126"/>
      <c r="AD136" s="126"/>
      <c r="AE136" s="126"/>
      <c r="AF136" s="126"/>
      <c r="AG136" s="126"/>
      <c r="AH136" s="126"/>
      <c r="AI136" s="126"/>
      <c r="AJ136" s="126"/>
      <c r="AK136" s="137"/>
      <c r="AL136" s="137"/>
      <c r="AM136" s="137"/>
    </row>
    <row r="137" spans="1:40" ht="21">
      <c r="B137" s="126"/>
      <c r="C137" s="126"/>
      <c r="D137" s="126"/>
      <c r="E137" s="126"/>
      <c r="F137" s="126"/>
      <c r="G137" s="126"/>
      <c r="H137" s="126"/>
      <c r="I137" s="137"/>
      <c r="J137" s="138"/>
      <c r="K137" s="135"/>
      <c r="AC137" s="126"/>
      <c r="AD137" s="126"/>
      <c r="AE137" s="126"/>
      <c r="AF137" s="126"/>
      <c r="AG137" s="126"/>
      <c r="AH137" s="126"/>
      <c r="AI137" s="126"/>
      <c r="AJ137" s="126"/>
      <c r="AK137" s="137"/>
      <c r="AL137" s="137"/>
      <c r="AM137" s="137"/>
    </row>
    <row r="138" spans="1:40" ht="21">
      <c r="AC138" s="136"/>
      <c r="AD138" s="136"/>
      <c r="AE138" s="136"/>
      <c r="AF138" s="136"/>
      <c r="AG138" s="136"/>
      <c r="AH138" s="136"/>
      <c r="AI138" s="136"/>
      <c r="AJ138" s="136"/>
      <c r="AK138" s="137"/>
      <c r="AL138" s="138"/>
      <c r="AM138" s="139"/>
    </row>
    <row r="139" spans="1:40" ht="21">
      <c r="AC139" s="136"/>
      <c r="AD139" s="136"/>
      <c r="AE139" s="136"/>
      <c r="AF139" s="136"/>
      <c r="AG139" s="136"/>
      <c r="AH139" s="136"/>
      <c r="AI139" s="136"/>
      <c r="AJ139" s="136"/>
      <c r="AK139" s="137"/>
      <c r="AL139" s="138"/>
      <c r="AM139" s="135"/>
    </row>
  </sheetData>
  <mergeCells count="36">
    <mergeCell ref="A115:K115"/>
    <mergeCell ref="P115:Y115"/>
    <mergeCell ref="AB115:AL115"/>
    <mergeCell ref="A117:K117"/>
    <mergeCell ref="P117:Y117"/>
    <mergeCell ref="AB117:AL117"/>
    <mergeCell ref="A92:K92"/>
    <mergeCell ref="P92:Y92"/>
    <mergeCell ref="AB92:AL92"/>
    <mergeCell ref="A94:K94"/>
    <mergeCell ref="P94:Y94"/>
    <mergeCell ref="AB94:AL94"/>
    <mergeCell ref="A70:K70"/>
    <mergeCell ref="P70:Y70"/>
    <mergeCell ref="AB70:AL70"/>
    <mergeCell ref="A72:K72"/>
    <mergeCell ref="P72:Y72"/>
    <mergeCell ref="AB72:AL72"/>
    <mergeCell ref="A48:K48"/>
    <mergeCell ref="P48:Y48"/>
    <mergeCell ref="AB48:AL48"/>
    <mergeCell ref="A50:K50"/>
    <mergeCell ref="P50:Y50"/>
    <mergeCell ref="AB50:AL50"/>
    <mergeCell ref="A26:K26"/>
    <mergeCell ref="P26:Y26"/>
    <mergeCell ref="AB26:AL26"/>
    <mergeCell ref="A28:K28"/>
    <mergeCell ref="P28:Y28"/>
    <mergeCell ref="AB28:AL28"/>
    <mergeCell ref="A4:K4"/>
    <mergeCell ref="P4:Y4"/>
    <mergeCell ref="AB4:AL4"/>
    <mergeCell ref="A6:K6"/>
    <mergeCell ref="P6:Y6"/>
    <mergeCell ref="AB6:AL6"/>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C252A-AC14-DE49-8743-1B214F7E296B}">
  <dimension ref="A1:L70"/>
  <sheetViews>
    <sheetView topLeftCell="A2" workbookViewId="0">
      <selection activeCell="D27" sqref="D27:D30"/>
    </sheetView>
  </sheetViews>
  <sheetFormatPr baseColWidth="10" defaultRowHeight="16"/>
  <cols>
    <col min="2" max="2" width="22.1640625" bestFit="1" customWidth="1"/>
    <col min="4" max="4" width="11.6640625" bestFit="1" customWidth="1"/>
    <col min="14" max="14" width="22.1640625" bestFit="1" customWidth="1"/>
  </cols>
  <sheetData>
    <row r="1" spans="1:12">
      <c r="G1" s="194" t="s">
        <v>86</v>
      </c>
      <c r="H1" s="194"/>
      <c r="I1" s="194"/>
      <c r="J1" s="194"/>
      <c r="K1" s="194"/>
    </row>
    <row r="2" spans="1:12" ht="34">
      <c r="A2" s="96" t="s">
        <v>87</v>
      </c>
      <c r="B2" s="96" t="s">
        <v>88</v>
      </c>
      <c r="C2" s="96" t="s">
        <v>89</v>
      </c>
      <c r="D2" s="96" t="s">
        <v>90</v>
      </c>
      <c r="E2" s="96" t="s">
        <v>91</v>
      </c>
      <c r="F2" s="96" t="s">
        <v>92</v>
      </c>
      <c r="G2" s="96" t="s">
        <v>93</v>
      </c>
      <c r="H2" s="97" t="s">
        <v>94</v>
      </c>
      <c r="I2" s="97" t="s">
        <v>95</v>
      </c>
      <c r="J2" s="97" t="s">
        <v>96</v>
      </c>
      <c r="K2" s="97" t="s">
        <v>32</v>
      </c>
      <c r="L2" s="97"/>
    </row>
    <row r="3" spans="1:12">
      <c r="A3" t="s">
        <v>97</v>
      </c>
      <c r="B3" t="s">
        <v>98</v>
      </c>
      <c r="C3" t="s">
        <v>99</v>
      </c>
      <c r="D3">
        <f>confusion_matrices_by_site!AK22</f>
        <v>0.23636363636363636</v>
      </c>
      <c r="E3">
        <f>confusion_matrices_by_site!AK23</f>
        <v>0.14504132231404959</v>
      </c>
      <c r="F3">
        <v>110</v>
      </c>
      <c r="G3">
        <f>(D3*(1-D3))/((1-E3)*(1-E3))</f>
        <v>0.24693179553822325</v>
      </c>
      <c r="H3">
        <f>SQRT(G3)</f>
        <v>0.49692232344524756</v>
      </c>
      <c r="I3">
        <f>H3/SQRT(F3)</f>
        <v>4.7379684516604147E-2</v>
      </c>
      <c r="J3" s="98">
        <f>I3</f>
        <v>4.7379684516604147E-2</v>
      </c>
      <c r="K3" s="150">
        <f>(D3-E3)/(1-E3)</f>
        <v>0.10681488641855968</v>
      </c>
      <c r="L3" s="150"/>
    </row>
    <row r="4" spans="1:12">
      <c r="A4" t="s">
        <v>97</v>
      </c>
      <c r="B4" t="s">
        <v>98</v>
      </c>
      <c r="C4" t="s">
        <v>100</v>
      </c>
      <c r="D4">
        <f>confusion_matrices_by_site!AK42</f>
        <v>0.23636363636363636</v>
      </c>
      <c r="E4">
        <f>confusion_matrices_by_site!AK43</f>
        <v>0.14008264462809916</v>
      </c>
      <c r="F4">
        <v>110</v>
      </c>
      <c r="G4">
        <f t="shared" ref="G4:G49" si="0">(D4*(1-D4))/((1-E4)*(1-E4))</f>
        <v>0.24409216265513867</v>
      </c>
      <c r="H4">
        <f t="shared" ref="H4:H49" si="1">SQRT(G4)</f>
        <v>0.49405684152244939</v>
      </c>
      <c r="I4">
        <f t="shared" ref="I4:I49" si="2">H4/SQRT(F4)</f>
        <v>4.7106471535249383E-2</v>
      </c>
      <c r="J4" s="98">
        <f t="shared" ref="J4:J50" si="3">I4</f>
        <v>4.7106471535249383E-2</v>
      </c>
      <c r="K4" s="150">
        <f t="shared" ref="K4:K49" si="4">(D4-E4)/(1-E4)</f>
        <v>0.11196540124939934</v>
      </c>
      <c r="L4" s="150"/>
    </row>
    <row r="5" spans="1:12">
      <c r="A5" t="s">
        <v>97</v>
      </c>
      <c r="B5" t="s">
        <v>98</v>
      </c>
      <c r="C5" t="s">
        <v>101</v>
      </c>
      <c r="D5">
        <f>confusion_matrices_by_site!AK62</f>
        <v>0.2</v>
      </c>
      <c r="E5">
        <f>confusion_matrices_by_site!AK63</f>
        <v>0.11520661157024793</v>
      </c>
      <c r="F5">
        <v>110</v>
      </c>
      <c r="G5">
        <f t="shared" si="0"/>
        <v>0.2043789883854287</v>
      </c>
      <c r="H5">
        <f t="shared" si="1"/>
        <v>0.452082944143471</v>
      </c>
      <c r="I5">
        <f t="shared" si="2"/>
        <v>4.3104417447680433E-2</v>
      </c>
      <c r="J5" s="98">
        <f t="shared" si="3"/>
        <v>4.3104417447680433E-2</v>
      </c>
      <c r="K5" s="150">
        <f t="shared" si="4"/>
        <v>9.5834111713058112E-2</v>
      </c>
      <c r="L5" s="150"/>
    </row>
    <row r="6" spans="1:12">
      <c r="A6" t="s">
        <v>97</v>
      </c>
      <c r="B6" t="s">
        <v>98</v>
      </c>
      <c r="C6" t="s">
        <v>102</v>
      </c>
      <c r="D6">
        <f>confusion_matrices_by_site!AK82</f>
        <v>5.4545454545454543E-2</v>
      </c>
      <c r="E6">
        <f>confusion_matrices_by_site!AK83</f>
        <v>0.11917355371900827</v>
      </c>
      <c r="F6">
        <v>110</v>
      </c>
      <c r="G6">
        <f t="shared" si="0"/>
        <v>6.6468905591723096E-2</v>
      </c>
      <c r="H6">
        <f t="shared" si="1"/>
        <v>0.25781564264358187</v>
      </c>
      <c r="I6">
        <f t="shared" si="2"/>
        <v>2.4581757018296593E-2</v>
      </c>
      <c r="J6" s="98">
        <f t="shared" si="3"/>
        <v>2.4581757018296593E-2</v>
      </c>
      <c r="K6" s="150">
        <f t="shared" si="4"/>
        <v>-7.3372114843310188E-2</v>
      </c>
      <c r="L6" s="150"/>
    </row>
    <row r="7" spans="1:12">
      <c r="A7" t="s">
        <v>97</v>
      </c>
      <c r="B7" t="s">
        <v>103</v>
      </c>
      <c r="C7" t="s">
        <v>99</v>
      </c>
      <c r="D7" s="99">
        <f>confusion_matrices_by_site!V19</f>
        <v>6.363636363636363E-2</v>
      </c>
      <c r="E7">
        <f>confusion_matrices_by_site!V20</f>
        <v>8.2231404958677687E-2</v>
      </c>
      <c r="F7">
        <v>110</v>
      </c>
      <c r="G7">
        <f t="shared" si="0"/>
        <v>7.0743005906738113E-2</v>
      </c>
      <c r="H7">
        <f t="shared" si="1"/>
        <v>0.26597557389117166</v>
      </c>
      <c r="I7">
        <f t="shared" si="2"/>
        <v>2.5359775935835889E-2</v>
      </c>
      <c r="J7" s="98">
        <f t="shared" si="3"/>
        <v>2.5359775935835889E-2</v>
      </c>
      <c r="K7" s="150">
        <f t="shared" si="4"/>
        <v>-2.0261143628995955E-2</v>
      </c>
      <c r="L7" s="150"/>
    </row>
    <row r="8" spans="1:12">
      <c r="A8" t="s">
        <v>97</v>
      </c>
      <c r="B8" t="s">
        <v>103</v>
      </c>
      <c r="C8" t="s">
        <v>100</v>
      </c>
      <c r="D8" s="99">
        <f>confusion_matrices_by_site!V39</f>
        <v>6.363636363636363E-2</v>
      </c>
      <c r="E8">
        <f>confusion_matrices_by_site!V40</f>
        <v>5.9586776859504136E-2</v>
      </c>
      <c r="F8">
        <v>110</v>
      </c>
      <c r="G8">
        <f t="shared" si="0"/>
        <v>6.7377119509938854E-2</v>
      </c>
      <c r="H8">
        <f t="shared" si="1"/>
        <v>0.25957102979712288</v>
      </c>
      <c r="I8">
        <f t="shared" si="2"/>
        <v>2.4749126616350956E-2</v>
      </c>
      <c r="J8" s="98">
        <f t="shared" si="3"/>
        <v>2.4749126616350956E-2</v>
      </c>
      <c r="K8" s="150">
        <f t="shared" si="4"/>
        <v>4.3061780472800669E-3</v>
      </c>
      <c r="L8" s="150"/>
    </row>
    <row r="9" spans="1:12">
      <c r="A9" t="s">
        <v>97</v>
      </c>
      <c r="B9" t="s">
        <v>103</v>
      </c>
      <c r="C9" t="s">
        <v>101</v>
      </c>
      <c r="D9" s="99">
        <f>confusion_matrices_by_site!V59</f>
        <v>5.4545454545454543E-2</v>
      </c>
      <c r="E9">
        <f>confusion_matrices_by_site!V60</f>
        <v>6.2479338842975206E-2</v>
      </c>
      <c r="F9">
        <v>110</v>
      </c>
      <c r="G9">
        <f t="shared" si="0"/>
        <v>5.8672895932012546E-2</v>
      </c>
      <c r="H9">
        <f t="shared" si="1"/>
        <v>0.24222488710289977</v>
      </c>
      <c r="I9">
        <f t="shared" si="2"/>
        <v>2.309523680368521E-2</v>
      </c>
      <c r="J9" s="98">
        <f t="shared" si="3"/>
        <v>2.309523680368521E-2</v>
      </c>
      <c r="K9" s="150">
        <f t="shared" si="4"/>
        <v>-8.4626234132581125E-3</v>
      </c>
      <c r="L9" s="150"/>
    </row>
    <row r="10" spans="1:12">
      <c r="A10" t="s">
        <v>97</v>
      </c>
      <c r="B10" t="s">
        <v>103</v>
      </c>
      <c r="C10" t="s">
        <v>102</v>
      </c>
      <c r="D10" s="99">
        <f>confusion_matrices_by_site!V79</f>
        <v>6.363636363636363E-2</v>
      </c>
      <c r="E10">
        <f>confusion_matrices_by_site!V80</f>
        <v>6.363636363636363E-2</v>
      </c>
      <c r="F10">
        <v>110</v>
      </c>
      <c r="G10">
        <f t="shared" si="0"/>
        <v>6.7961165048543673E-2</v>
      </c>
      <c r="H10">
        <f t="shared" si="1"/>
        <v>0.26069362295335052</v>
      </c>
      <c r="I10">
        <f t="shared" si="2"/>
        <v>2.4856161674091576E-2</v>
      </c>
      <c r="J10" s="98">
        <f t="shared" si="3"/>
        <v>2.4856161674091576E-2</v>
      </c>
      <c r="K10" s="150">
        <f t="shared" si="4"/>
        <v>0</v>
      </c>
      <c r="L10" s="150"/>
    </row>
    <row r="11" spans="1:12">
      <c r="A11" t="s">
        <v>97</v>
      </c>
      <c r="B11" t="s">
        <v>104</v>
      </c>
      <c r="C11" t="s">
        <v>99</v>
      </c>
      <c r="D11">
        <f>confusion_matrices_by_site!J21</f>
        <v>4.5454545454545456E-2</v>
      </c>
      <c r="E11">
        <f>confusion_matrices_by_site!J22</f>
        <v>4.8016528925619834E-2</v>
      </c>
      <c r="F11">
        <v>110</v>
      </c>
      <c r="G11">
        <f t="shared" si="0"/>
        <v>4.7875697821739026E-2</v>
      </c>
      <c r="H11">
        <f t="shared" si="1"/>
        <v>0.21880515949524368</v>
      </c>
      <c r="I11">
        <f t="shared" si="2"/>
        <v>2.0862253391262985E-2</v>
      </c>
      <c r="J11" s="98">
        <f t="shared" si="3"/>
        <v>2.0862253391262985E-2</v>
      </c>
      <c r="K11" s="150">
        <f t="shared" si="4"/>
        <v>-2.6912058338397402E-3</v>
      </c>
      <c r="L11" s="150"/>
    </row>
    <row r="12" spans="1:12">
      <c r="A12" t="s">
        <v>97</v>
      </c>
      <c r="B12" t="s">
        <v>104</v>
      </c>
      <c r="C12" t="s">
        <v>100</v>
      </c>
      <c r="D12">
        <f>confusion_matrices_by_site!J41</f>
        <v>6.363636363636363E-2</v>
      </c>
      <c r="E12" s="61">
        <f>confusion_matrices_by_site!J42</f>
        <v>4.7438016528925618E-2</v>
      </c>
      <c r="F12">
        <v>110</v>
      </c>
      <c r="G12">
        <f t="shared" si="0"/>
        <v>6.566945386794823E-2</v>
      </c>
      <c r="H12">
        <f t="shared" si="1"/>
        <v>0.25626051952641521</v>
      </c>
      <c r="I12">
        <f t="shared" si="2"/>
        <v>2.4433481846907652E-2</v>
      </c>
      <c r="J12" s="98">
        <f t="shared" si="3"/>
        <v>2.4433481846907652E-2</v>
      </c>
      <c r="K12" s="150">
        <f t="shared" si="4"/>
        <v>1.7005032101336106E-2</v>
      </c>
      <c r="L12" s="150"/>
    </row>
    <row r="13" spans="1:12">
      <c r="A13" t="s">
        <v>97</v>
      </c>
      <c r="B13" t="s">
        <v>104</v>
      </c>
      <c r="C13" t="s">
        <v>101</v>
      </c>
      <c r="D13" s="99">
        <f>confusion_matrices_by_site!J61</f>
        <v>5.4545454545454543E-2</v>
      </c>
      <c r="E13" s="61">
        <f>confusion_matrices_by_site!J62</f>
        <v>5.6694214876033058E-2</v>
      </c>
      <c r="F13">
        <v>110</v>
      </c>
      <c r="G13">
        <f t="shared" si="0"/>
        <v>5.7955442163701777E-2</v>
      </c>
      <c r="H13">
        <f t="shared" si="1"/>
        <v>0.24073936562951598</v>
      </c>
      <c r="I13">
        <f t="shared" si="2"/>
        <v>2.2953597888645965E-2</v>
      </c>
      <c r="J13" s="98">
        <f t="shared" si="3"/>
        <v>2.2953597888645965E-2</v>
      </c>
      <c r="K13" s="150">
        <f t="shared" si="4"/>
        <v>-2.2779043280182266E-3</v>
      </c>
      <c r="L13" s="150"/>
    </row>
    <row r="14" spans="1:12">
      <c r="A14" t="s">
        <v>97</v>
      </c>
      <c r="B14" t="s">
        <v>104</v>
      </c>
      <c r="C14" t="s">
        <v>102</v>
      </c>
      <c r="D14">
        <f>confusion_matrices_by_site!J81</f>
        <v>6.363636363636363E-2</v>
      </c>
      <c r="E14" s="61">
        <f>confusion_matrices_by_site!J82</f>
        <v>5.8429752066115705E-2</v>
      </c>
      <c r="F14">
        <v>110</v>
      </c>
      <c r="G14">
        <f t="shared" si="0"/>
        <v>6.7211631910456635E-2</v>
      </c>
      <c r="H14">
        <f t="shared" si="1"/>
        <v>0.25925206249990884</v>
      </c>
      <c r="I14">
        <f t="shared" si="2"/>
        <v>2.4718714277842321E-2</v>
      </c>
      <c r="J14" s="98">
        <f t="shared" si="3"/>
        <v>2.4718714277842321E-2</v>
      </c>
      <c r="K14" s="150">
        <f t="shared" si="4"/>
        <v>5.5297112261915114E-3</v>
      </c>
      <c r="L14" s="150"/>
    </row>
    <row r="15" spans="1:12">
      <c r="A15" t="s">
        <v>105</v>
      </c>
      <c r="B15" t="s">
        <v>98</v>
      </c>
      <c r="C15" t="s">
        <v>99</v>
      </c>
      <c r="D15">
        <f>confusion_matrices_by_site!AK104</f>
        <v>0.9375</v>
      </c>
      <c r="E15">
        <f>confusion_matrices_by_site!AK105</f>
        <v>0.49609375</v>
      </c>
      <c r="F15">
        <v>32</v>
      </c>
      <c r="G15">
        <f t="shared" si="0"/>
        <v>0.2307553632594195</v>
      </c>
      <c r="H15">
        <f t="shared" si="1"/>
        <v>0.48037002743657886</v>
      </c>
      <c r="I15">
        <f t="shared" si="2"/>
        <v>8.491822596979319E-2</v>
      </c>
      <c r="J15" s="98">
        <f t="shared" si="3"/>
        <v>8.491822596979319E-2</v>
      </c>
      <c r="K15" s="150">
        <f t="shared" si="4"/>
        <v>0.87596899224806202</v>
      </c>
      <c r="L15" s="150"/>
    </row>
    <row r="16" spans="1:12">
      <c r="A16" t="s">
        <v>105</v>
      </c>
      <c r="B16" t="s">
        <v>98</v>
      </c>
      <c r="C16" t="s">
        <v>100</v>
      </c>
      <c r="D16">
        <f>confusion_matrices_by_site!AK124</f>
        <v>0.8125</v>
      </c>
      <c r="E16">
        <f>confusion_matrices_by_site!AK125</f>
        <v>0.482421875</v>
      </c>
      <c r="F16">
        <v>32</v>
      </c>
      <c r="G16">
        <f t="shared" si="0"/>
        <v>0.56868636525453897</v>
      </c>
      <c r="H16">
        <f t="shared" si="1"/>
        <v>0.75411296584433485</v>
      </c>
      <c r="I16">
        <f t="shared" si="2"/>
        <v>0.1333095979823071</v>
      </c>
      <c r="J16" s="98">
        <f t="shared" si="3"/>
        <v>0.1333095979823071</v>
      </c>
      <c r="K16" s="150">
        <f t="shared" si="4"/>
        <v>0.63773584905660374</v>
      </c>
      <c r="L16" s="150"/>
    </row>
    <row r="17" spans="1:12">
      <c r="A17" t="s">
        <v>105</v>
      </c>
      <c r="B17" t="s">
        <v>98</v>
      </c>
      <c r="C17" t="s">
        <v>101</v>
      </c>
      <c r="D17">
        <f>confusion_matrices_by_site!AK144</f>
        <v>0.8125</v>
      </c>
      <c r="E17">
        <f>confusion_matrices_by_site!AK145</f>
        <v>0.59375</v>
      </c>
      <c r="F17">
        <v>32</v>
      </c>
      <c r="G17">
        <f t="shared" si="0"/>
        <v>0.92307692307692313</v>
      </c>
      <c r="H17">
        <f t="shared" si="1"/>
        <v>0.96076892283052284</v>
      </c>
      <c r="I17">
        <f t="shared" si="2"/>
        <v>0.16984155512168936</v>
      </c>
      <c r="J17" s="98">
        <f t="shared" si="3"/>
        <v>0.16984155512168936</v>
      </c>
      <c r="K17" s="150">
        <f t="shared" si="4"/>
        <v>0.53846153846153844</v>
      </c>
      <c r="L17" s="150"/>
    </row>
    <row r="18" spans="1:12">
      <c r="A18" t="s">
        <v>105</v>
      </c>
      <c r="B18" t="s">
        <v>98</v>
      </c>
      <c r="C18" t="s">
        <v>102</v>
      </c>
      <c r="D18">
        <f>confusion_matrices_by_site!AK164</f>
        <v>0.8125</v>
      </c>
      <c r="E18">
        <f>confusion_matrices_by_site!AK165</f>
        <v>0.59375</v>
      </c>
      <c r="F18">
        <v>32</v>
      </c>
      <c r="G18">
        <f t="shared" si="0"/>
        <v>0.92307692307692313</v>
      </c>
      <c r="H18">
        <f t="shared" si="1"/>
        <v>0.96076892283052284</v>
      </c>
      <c r="I18">
        <f t="shared" si="2"/>
        <v>0.16984155512168936</v>
      </c>
      <c r="J18" s="98">
        <f t="shared" si="3"/>
        <v>0.16984155512168936</v>
      </c>
      <c r="K18" s="150">
        <f t="shared" si="4"/>
        <v>0.53846153846153844</v>
      </c>
      <c r="L18" s="150"/>
    </row>
    <row r="19" spans="1:12">
      <c r="A19" t="s">
        <v>105</v>
      </c>
      <c r="B19" t="s">
        <v>103</v>
      </c>
      <c r="C19" t="s">
        <v>99</v>
      </c>
      <c r="D19">
        <f>confusion_matrices_by_site!V101</f>
        <v>0.1875</v>
      </c>
      <c r="E19">
        <f>confusion_matrices_by_site!V102</f>
        <v>0.119140625</v>
      </c>
      <c r="F19">
        <v>32</v>
      </c>
      <c r="G19">
        <f t="shared" si="0"/>
        <v>0.19634121759480042</v>
      </c>
      <c r="H19">
        <f t="shared" si="1"/>
        <v>0.44310407083979764</v>
      </c>
      <c r="I19">
        <f t="shared" si="2"/>
        <v>7.8330473315546309E-2</v>
      </c>
      <c r="J19" s="98">
        <f t="shared" si="3"/>
        <v>7.8330473315546309E-2</v>
      </c>
      <c r="K19" s="150">
        <f t="shared" si="4"/>
        <v>7.7605321507760533E-2</v>
      </c>
      <c r="L19" s="150"/>
    </row>
    <row r="20" spans="1:12">
      <c r="A20" t="s">
        <v>105</v>
      </c>
      <c r="B20" t="s">
        <v>103</v>
      </c>
      <c r="C20" t="s">
        <v>100</v>
      </c>
      <c r="D20">
        <f>confusion_matrices_by_site!V121</f>
        <v>9.375E-2</v>
      </c>
      <c r="E20">
        <f>confusion_matrices_by_site!V122</f>
        <v>0.125</v>
      </c>
      <c r="F20">
        <v>32</v>
      </c>
      <c r="G20">
        <f t="shared" si="0"/>
        <v>0.11096938775510204</v>
      </c>
      <c r="H20">
        <f t="shared" si="1"/>
        <v>0.33312068046745769</v>
      </c>
      <c r="I20">
        <f t="shared" si="2"/>
        <v>5.8887973028004102E-2</v>
      </c>
      <c r="J20" s="98">
        <f t="shared" si="3"/>
        <v>5.8887973028004102E-2</v>
      </c>
      <c r="K20" s="150">
        <f t="shared" si="4"/>
        <v>-3.5714285714285712E-2</v>
      </c>
      <c r="L20" s="150"/>
    </row>
    <row r="21" spans="1:12">
      <c r="A21" t="s">
        <v>105</v>
      </c>
      <c r="B21" t="s">
        <v>103</v>
      </c>
      <c r="C21" t="s">
        <v>101</v>
      </c>
      <c r="D21">
        <f>confusion_matrices_by_site!V141</f>
        <v>0.125</v>
      </c>
      <c r="E21">
        <f>confusion_matrices_by_site!V142</f>
        <v>0.1171875</v>
      </c>
      <c r="F21">
        <v>32</v>
      </c>
      <c r="G21">
        <f t="shared" si="0"/>
        <v>0.14033988566058422</v>
      </c>
      <c r="H21">
        <f t="shared" si="1"/>
        <v>0.37461965466401281</v>
      </c>
      <c r="I21">
        <f t="shared" si="2"/>
        <v>6.6224024544671523E-2</v>
      </c>
      <c r="J21" s="98">
        <f t="shared" si="3"/>
        <v>6.6224024544671523E-2</v>
      </c>
      <c r="K21" s="150">
        <f t="shared" si="4"/>
        <v>8.8495575221238937E-3</v>
      </c>
      <c r="L21" s="150"/>
    </row>
    <row r="22" spans="1:12">
      <c r="A22" t="s">
        <v>105</v>
      </c>
      <c r="B22" t="s">
        <v>103</v>
      </c>
      <c r="C22" t="s">
        <v>102</v>
      </c>
      <c r="D22">
        <f>confusion_matrices_by_site!V161</f>
        <v>0.40625</v>
      </c>
      <c r="E22">
        <f>confusion_matrices_by_site!V162</f>
        <v>0.216796875</v>
      </c>
      <c r="F22">
        <v>32</v>
      </c>
      <c r="G22">
        <f t="shared" si="0"/>
        <v>0.39323138537695662</v>
      </c>
      <c r="H22">
        <f t="shared" si="1"/>
        <v>0.62708164171577896</v>
      </c>
      <c r="I22">
        <f t="shared" si="2"/>
        <v>0.11085342030370507</v>
      </c>
      <c r="J22" s="98">
        <f t="shared" si="3"/>
        <v>0.11085342030370507</v>
      </c>
      <c r="K22" s="150">
        <f t="shared" si="4"/>
        <v>0.24189526184538654</v>
      </c>
      <c r="L22" s="150"/>
    </row>
    <row r="23" spans="1:12">
      <c r="A23" t="s">
        <v>105</v>
      </c>
      <c r="B23" t="s">
        <v>104</v>
      </c>
      <c r="C23" t="s">
        <v>99</v>
      </c>
      <c r="D23" s="99">
        <f>confusion_matrices_by_site!J103</f>
        <v>0.15625</v>
      </c>
      <c r="E23">
        <f>confusion_matrices_by_site!J104</f>
        <v>0.10546875</v>
      </c>
      <c r="F23">
        <v>32</v>
      </c>
      <c r="G23">
        <f t="shared" si="0"/>
        <v>0.16475658358917641</v>
      </c>
      <c r="H23">
        <f t="shared" si="1"/>
        <v>0.40590218475536249</v>
      </c>
      <c r="I23">
        <f t="shared" si="2"/>
        <v>7.175404683473792E-2</v>
      </c>
      <c r="J23" s="98">
        <f t="shared" si="3"/>
        <v>7.175404683473792E-2</v>
      </c>
      <c r="K23" s="150">
        <f t="shared" si="4"/>
        <v>5.6768558951965066E-2</v>
      </c>
      <c r="L23" s="150"/>
    </row>
    <row r="24" spans="1:12">
      <c r="A24" t="s">
        <v>105</v>
      </c>
      <c r="B24" t="s">
        <v>104</v>
      </c>
      <c r="C24" t="s">
        <v>100</v>
      </c>
      <c r="D24" s="99">
        <f>confusion_matrices_by_site!J123</f>
        <v>0.125</v>
      </c>
      <c r="E24">
        <f>confusion_matrices_by_site!J124</f>
        <v>0.1015625</v>
      </c>
      <c r="F24">
        <v>32</v>
      </c>
      <c r="G24">
        <f t="shared" si="0"/>
        <v>0.13550094517958411</v>
      </c>
      <c r="H24">
        <f t="shared" si="1"/>
        <v>0.36810453023507345</v>
      </c>
      <c r="I24">
        <f t="shared" si="2"/>
        <v>6.5072302378677227E-2</v>
      </c>
      <c r="J24" s="98">
        <f t="shared" si="3"/>
        <v>6.5072302378677227E-2</v>
      </c>
      <c r="K24" s="150">
        <f t="shared" si="4"/>
        <v>2.6086956521739129E-2</v>
      </c>
      <c r="L24" s="150"/>
    </row>
    <row r="25" spans="1:12">
      <c r="A25" t="s">
        <v>105</v>
      </c>
      <c r="B25" t="s">
        <v>104</v>
      </c>
      <c r="C25" t="s">
        <v>101</v>
      </c>
      <c r="D25" s="99">
        <f>confusion_matrices_by_site!J143</f>
        <v>0.15625</v>
      </c>
      <c r="E25">
        <f>confusion_matrices_by_site!J144</f>
        <v>0.1015625</v>
      </c>
      <c r="F25">
        <v>32</v>
      </c>
      <c r="G25">
        <f t="shared" si="0"/>
        <v>0.16332703213610586</v>
      </c>
      <c r="H25">
        <f t="shared" si="1"/>
        <v>0.40413739264773046</v>
      </c>
      <c r="I25">
        <f t="shared" si="2"/>
        <v>7.1442072718065144E-2</v>
      </c>
      <c r="J25" s="98">
        <f t="shared" si="3"/>
        <v>7.1442072718065144E-2</v>
      </c>
      <c r="K25" s="150">
        <f t="shared" si="4"/>
        <v>6.0869565217391307E-2</v>
      </c>
      <c r="L25" s="150"/>
    </row>
    <row r="26" spans="1:12">
      <c r="A26" t="s">
        <v>105</v>
      </c>
      <c r="B26" t="s">
        <v>104</v>
      </c>
      <c r="C26" t="s">
        <v>102</v>
      </c>
      <c r="D26" s="99">
        <f>confusion_matrices_by_site!J163</f>
        <v>0.125</v>
      </c>
      <c r="E26">
        <f>confusion_matrices_by_site!J164</f>
        <v>8.3984375E-2</v>
      </c>
      <c r="F26">
        <v>32</v>
      </c>
      <c r="G26">
        <f t="shared" si="0"/>
        <v>0.13035038029468859</v>
      </c>
      <c r="H26">
        <f t="shared" si="1"/>
        <v>0.36104069063567973</v>
      </c>
      <c r="I26">
        <f t="shared" si="2"/>
        <v>6.3823580158190896E-2</v>
      </c>
      <c r="J26" s="98">
        <f t="shared" si="3"/>
        <v>6.3823580158190896E-2</v>
      </c>
      <c r="K26" s="150">
        <f t="shared" si="4"/>
        <v>4.4776119402985072E-2</v>
      </c>
      <c r="L26" s="150"/>
    </row>
    <row r="27" spans="1:12">
      <c r="A27" t="s">
        <v>106</v>
      </c>
      <c r="B27" t="s">
        <v>98</v>
      </c>
      <c r="C27" t="s">
        <v>99</v>
      </c>
      <c r="D27">
        <f>confusion_matrices_by_site!AK186</f>
        <v>0.61616161616161613</v>
      </c>
      <c r="E27">
        <f>confusion_matrices_by_site!AK187</f>
        <v>0.26119783695541271</v>
      </c>
      <c r="F27">
        <v>99</v>
      </c>
      <c r="G27">
        <f t="shared" si="0"/>
        <v>0.43329804132702637</v>
      </c>
      <c r="H27">
        <f t="shared" si="1"/>
        <v>0.65825378185546823</v>
      </c>
      <c r="I27">
        <f t="shared" si="2"/>
        <v>6.6156994280213377E-2</v>
      </c>
      <c r="J27" s="98">
        <f t="shared" si="3"/>
        <v>6.6156994280213377E-2</v>
      </c>
      <c r="K27" s="150">
        <f t="shared" si="4"/>
        <v>0.48045850020715364</v>
      </c>
      <c r="L27" s="150"/>
    </row>
    <row r="28" spans="1:12">
      <c r="A28" t="s">
        <v>106</v>
      </c>
      <c r="B28" t="s">
        <v>98</v>
      </c>
      <c r="C28" t="s">
        <v>100</v>
      </c>
      <c r="D28">
        <f>confusion_matrices_by_site!AK206</f>
        <v>0.5252525252525253</v>
      </c>
      <c r="E28">
        <f>confusion_matrices_by_site!AK207</f>
        <v>0.26109580655035203</v>
      </c>
      <c r="F28">
        <v>99</v>
      </c>
      <c r="G28">
        <f t="shared" si="0"/>
        <v>0.45672475321738903</v>
      </c>
      <c r="H28">
        <f t="shared" si="1"/>
        <v>0.67581414103094128</v>
      </c>
      <c r="I28">
        <f t="shared" si="2"/>
        <v>6.7921876782301827E-2</v>
      </c>
      <c r="J28" s="98">
        <f t="shared" si="3"/>
        <v>6.7921876782301827E-2</v>
      </c>
      <c r="K28" s="150">
        <f t="shared" si="4"/>
        <v>0.35749792874896441</v>
      </c>
      <c r="L28" s="150"/>
    </row>
    <row r="29" spans="1:12">
      <c r="A29" t="s">
        <v>106</v>
      </c>
      <c r="B29" t="s">
        <v>98</v>
      </c>
      <c r="C29" t="s">
        <v>101</v>
      </c>
      <c r="D29">
        <f>confusion_matrices_by_site!AK226</f>
        <v>0.34343434343434343</v>
      </c>
      <c r="E29">
        <f>confusion_matrices_by_site!AK227</f>
        <v>0.22732374247525763</v>
      </c>
      <c r="F29">
        <v>99</v>
      </c>
      <c r="G29">
        <f t="shared" si="0"/>
        <v>0.3776824017870935</v>
      </c>
      <c r="H29">
        <f t="shared" si="1"/>
        <v>0.61455870491523712</v>
      </c>
      <c r="I29">
        <f t="shared" si="2"/>
        <v>6.1765473813654069E-2</v>
      </c>
      <c r="J29" s="98">
        <f t="shared" si="3"/>
        <v>6.1765473813654069E-2</v>
      </c>
      <c r="K29" s="150">
        <f t="shared" si="4"/>
        <v>0.15027069853426647</v>
      </c>
      <c r="L29" s="150"/>
    </row>
    <row r="30" spans="1:12">
      <c r="A30" t="s">
        <v>106</v>
      </c>
      <c r="B30" t="s">
        <v>98</v>
      </c>
      <c r="C30" t="s">
        <v>102</v>
      </c>
      <c r="D30">
        <f>confusion_matrices_by_site!AK246</f>
        <v>0.22222222222222221</v>
      </c>
      <c r="E30">
        <f>confusion_matrices_by_site!AK247</f>
        <v>0.20991161616161616</v>
      </c>
      <c r="F30">
        <v>99</v>
      </c>
      <c r="G30">
        <f t="shared" ref="G30" si="5">(D30*(1-D30))/((1-E30)*(1-E30))</f>
        <v>0.27688004917470982</v>
      </c>
      <c r="H30">
        <f t="shared" ref="H30" si="6">SQRT(G30)</f>
        <v>0.52619392734495696</v>
      </c>
      <c r="I30">
        <f t="shared" ref="I30" si="7">H30/SQRT(F30)</f>
        <v>5.288447951414401E-2</v>
      </c>
      <c r="J30" s="98">
        <f t="shared" si="3"/>
        <v>5.288447951414401E-2</v>
      </c>
      <c r="K30" s="151">
        <f t="shared" si="4"/>
        <v>1.5581302437075496E-2</v>
      </c>
      <c r="L30" s="151"/>
    </row>
    <row r="31" spans="1:12">
      <c r="A31" t="s">
        <v>106</v>
      </c>
      <c r="B31" t="s">
        <v>103</v>
      </c>
      <c r="C31" t="s">
        <v>99</v>
      </c>
      <c r="D31">
        <f>confusion_matrices_by_site!V183</f>
        <v>0.82828282828282829</v>
      </c>
      <c r="E31">
        <f>confusion_matrices_by_site!V184</f>
        <v>0.52168146107540048</v>
      </c>
      <c r="F31">
        <v>99</v>
      </c>
      <c r="G31">
        <f t="shared" si="0"/>
        <v>0.62166720418991483</v>
      </c>
      <c r="H31">
        <f t="shared" si="1"/>
        <v>0.78845875237067087</v>
      </c>
      <c r="I31">
        <f t="shared" si="2"/>
        <v>7.9243086190462317E-2</v>
      </c>
      <c r="J31" s="98">
        <f t="shared" si="3"/>
        <v>7.9243086190462317E-2</v>
      </c>
      <c r="K31" s="150">
        <f t="shared" si="4"/>
        <v>0.64099829351535842</v>
      </c>
      <c r="L31" s="150"/>
    </row>
    <row r="32" spans="1:12">
      <c r="A32" t="s">
        <v>106</v>
      </c>
      <c r="B32" t="s">
        <v>103</v>
      </c>
      <c r="C32" t="s">
        <v>100</v>
      </c>
      <c r="D32">
        <f>confusion_matrices_by_site!V203</f>
        <v>0.77777777777777779</v>
      </c>
      <c r="E32">
        <f>confusion_matrices_by_site!V204</f>
        <v>0.53106825834098559</v>
      </c>
      <c r="F32">
        <v>99</v>
      </c>
      <c r="G32">
        <f t="shared" si="0"/>
        <v>0.78600218830314461</v>
      </c>
      <c r="H32">
        <f t="shared" si="1"/>
        <v>0.88656764451627978</v>
      </c>
      <c r="I32">
        <f t="shared" si="2"/>
        <v>8.9103400852414763E-2</v>
      </c>
      <c r="J32" s="98">
        <f t="shared" si="3"/>
        <v>8.9103400852414763E-2</v>
      </c>
      <c r="K32" s="150">
        <f t="shared" si="4"/>
        <v>0.52610966057441255</v>
      </c>
      <c r="L32" s="150"/>
    </row>
    <row r="33" spans="1:12">
      <c r="A33" t="s">
        <v>106</v>
      </c>
      <c r="B33" t="s">
        <v>103</v>
      </c>
      <c r="C33" t="s">
        <v>101</v>
      </c>
      <c r="D33" s="99">
        <f>confusion_matrices_by_site!V223</f>
        <v>0.76767676767676762</v>
      </c>
      <c r="E33">
        <f>confusion_matrices_by_site!V224</f>
        <v>0.54586266707478825</v>
      </c>
      <c r="F33">
        <v>99</v>
      </c>
      <c r="G33">
        <f t="shared" si="0"/>
        <v>0.864762063016139</v>
      </c>
      <c r="H33">
        <f t="shared" si="1"/>
        <v>0.92992583737421719</v>
      </c>
      <c r="I33">
        <f t="shared" si="2"/>
        <v>9.3461063194767657E-2</v>
      </c>
      <c r="J33" s="98">
        <f t="shared" si="3"/>
        <v>9.3461063194767657E-2</v>
      </c>
      <c r="K33" s="150">
        <f t="shared" si="4"/>
        <v>0.4884295663895753</v>
      </c>
      <c r="L33" s="150"/>
    </row>
    <row r="34" spans="1:12">
      <c r="A34" t="s">
        <v>106</v>
      </c>
      <c r="B34" t="s">
        <v>103</v>
      </c>
      <c r="C34" t="s">
        <v>102</v>
      </c>
      <c r="D34" s="99">
        <f>confusion_matrices_by_site!V243</f>
        <v>0.6262626262626263</v>
      </c>
      <c r="E34">
        <f>confusion_matrices_by_site!V244</f>
        <v>0.55596367717579842</v>
      </c>
      <c r="F34">
        <v>99</v>
      </c>
      <c r="G34">
        <f t="shared" si="0"/>
        <v>1.1870965132663822</v>
      </c>
      <c r="H34">
        <f t="shared" si="1"/>
        <v>1.0895395877463023</v>
      </c>
      <c r="I34">
        <f t="shared" si="2"/>
        <v>0.10950284869069662</v>
      </c>
      <c r="J34" s="98">
        <f t="shared" si="3"/>
        <v>0.10950284869069662</v>
      </c>
      <c r="K34" s="150">
        <f t="shared" si="4"/>
        <v>0.15831801470588236</v>
      </c>
      <c r="L34" s="150"/>
    </row>
    <row r="35" spans="1:12">
      <c r="A35" t="s">
        <v>106</v>
      </c>
      <c r="B35" t="s">
        <v>104</v>
      </c>
      <c r="C35" t="s">
        <v>99</v>
      </c>
      <c r="D35" s="99">
        <f>confusion_matrices_by_site!J185</f>
        <v>0.81818181818181823</v>
      </c>
      <c r="E35">
        <f>confusion_matrices_by_site!J186</f>
        <v>0.51270278543005821</v>
      </c>
      <c r="F35">
        <v>99</v>
      </c>
      <c r="G35">
        <f t="shared" si="0"/>
        <v>0.62646855508699273</v>
      </c>
      <c r="H35">
        <f t="shared" si="1"/>
        <v>0.79149766587589676</v>
      </c>
      <c r="I35">
        <f t="shared" si="2"/>
        <v>7.9548508489467706E-2</v>
      </c>
      <c r="J35" s="98">
        <f t="shared" si="3"/>
        <v>7.9548508489467706E-2</v>
      </c>
      <c r="K35" s="150">
        <f t="shared" si="4"/>
        <v>0.62688442211055284</v>
      </c>
      <c r="L35" s="150"/>
    </row>
    <row r="36" spans="1:12">
      <c r="A36" t="s">
        <v>106</v>
      </c>
      <c r="B36" t="s">
        <v>104</v>
      </c>
      <c r="C36" t="s">
        <v>100</v>
      </c>
      <c r="D36" s="99">
        <f>confusion_matrices_by_site!J205</f>
        <v>0.76767676767676762</v>
      </c>
      <c r="E36">
        <f>confusion_matrices_by_site!J206</f>
        <v>0.522905825936129</v>
      </c>
      <c r="F36">
        <v>99</v>
      </c>
      <c r="G36">
        <f t="shared" si="0"/>
        <v>0.78354295929709705</v>
      </c>
      <c r="H36">
        <f t="shared" si="1"/>
        <v>0.88517961979312254</v>
      </c>
      <c r="I36">
        <f t="shared" si="2"/>
        <v>8.8963899118885983E-2</v>
      </c>
      <c r="J36" s="98">
        <f t="shared" si="3"/>
        <v>8.8963899118885983E-2</v>
      </c>
      <c r="K36" s="150">
        <f t="shared" si="4"/>
        <v>0.51304533789563711</v>
      </c>
      <c r="L36" s="150"/>
    </row>
    <row r="37" spans="1:12">
      <c r="A37" t="s">
        <v>106</v>
      </c>
      <c r="B37" t="s">
        <v>104</v>
      </c>
      <c r="C37" t="s">
        <v>101</v>
      </c>
      <c r="D37" s="99">
        <f>confusion_matrices_by_site!J225</f>
        <v>0.76767676767676762</v>
      </c>
      <c r="E37">
        <f>confusion_matrices_by_site!J226</f>
        <v>0.54137332925211712</v>
      </c>
      <c r="F37">
        <v>99</v>
      </c>
      <c r="G37">
        <f t="shared" si="0"/>
        <v>0.84791520921156993</v>
      </c>
      <c r="H37">
        <f t="shared" si="1"/>
        <v>0.92082311505064307</v>
      </c>
      <c r="I37">
        <f t="shared" si="2"/>
        <v>9.2546205179068045E-2</v>
      </c>
      <c r="J37" s="98">
        <f t="shared" si="3"/>
        <v>9.2546205179068045E-2</v>
      </c>
      <c r="K37" s="150">
        <f t="shared" si="4"/>
        <v>0.49343715239154606</v>
      </c>
      <c r="L37" s="150"/>
    </row>
    <row r="38" spans="1:12">
      <c r="A38" t="s">
        <v>106</v>
      </c>
      <c r="B38" t="s">
        <v>104</v>
      </c>
      <c r="C38" t="s">
        <v>102</v>
      </c>
      <c r="D38" s="99">
        <f>confusion_matrices_by_site!J245</f>
        <v>0.6262626262626263</v>
      </c>
      <c r="E38">
        <f>confusion_matrices_by_site!J246</f>
        <v>0.55127027854300581</v>
      </c>
      <c r="F38">
        <v>99</v>
      </c>
      <c r="G38">
        <f t="shared" si="0"/>
        <v>1.1623939816374427</v>
      </c>
      <c r="H38">
        <f t="shared" si="1"/>
        <v>1.0781437666830165</v>
      </c>
      <c r="I38">
        <f t="shared" si="2"/>
        <v>0.10835752558024365</v>
      </c>
      <c r="J38" s="98">
        <f t="shared" si="3"/>
        <v>0.10835752558024365</v>
      </c>
      <c r="K38" s="150">
        <f t="shared" si="4"/>
        <v>0.16712141882673953</v>
      </c>
      <c r="L38" s="150"/>
    </row>
    <row r="39" spans="1:12">
      <c r="A39" t="s">
        <v>107</v>
      </c>
      <c r="B39" t="s">
        <v>98</v>
      </c>
      <c r="C39" t="s">
        <v>99</v>
      </c>
      <c r="D39">
        <f>confusion_matrices_by_site!AK268</f>
        <v>0</v>
      </c>
      <c r="E39">
        <f>confusion_matrices_by_site!AK269</f>
        <v>0.22248661511005355</v>
      </c>
      <c r="F39">
        <v>41</v>
      </c>
      <c r="G39">
        <f t="shared" si="0"/>
        <v>0</v>
      </c>
      <c r="H39">
        <f t="shared" si="1"/>
        <v>0</v>
      </c>
      <c r="I39">
        <f t="shared" si="2"/>
        <v>0</v>
      </c>
      <c r="J39" s="98">
        <f t="shared" si="3"/>
        <v>0</v>
      </c>
      <c r="K39" s="150">
        <f t="shared" si="4"/>
        <v>-0.2861514919663351</v>
      </c>
      <c r="L39" s="150"/>
    </row>
    <row r="40" spans="1:12">
      <c r="A40" t="s">
        <v>107</v>
      </c>
      <c r="B40" t="s">
        <v>98</v>
      </c>
      <c r="C40" t="s">
        <v>100</v>
      </c>
      <c r="D40">
        <f>confusion_matrices_by_site!AK288</f>
        <v>0.48780487804878048</v>
      </c>
      <c r="E40">
        <f>confusion_matrices_by_site!AK289</f>
        <v>0.49732302201070794</v>
      </c>
      <c r="F40">
        <v>41</v>
      </c>
      <c r="G40">
        <f t="shared" si="0"/>
        <v>0.98878890795140217</v>
      </c>
      <c r="H40">
        <f t="shared" si="1"/>
        <v>0.99437865421146399</v>
      </c>
      <c r="I40">
        <f t="shared" si="2"/>
        <v>0.15529585516993372</v>
      </c>
      <c r="J40" s="98">
        <f t="shared" si="3"/>
        <v>0.15529585516993372</v>
      </c>
      <c r="K40" s="150">
        <f t="shared" si="4"/>
        <v>-1.8934911242603623E-2</v>
      </c>
      <c r="L40" s="150"/>
    </row>
    <row r="41" spans="1:12">
      <c r="A41" t="s">
        <v>107</v>
      </c>
      <c r="B41" t="s">
        <v>98</v>
      </c>
      <c r="C41" t="s">
        <v>101</v>
      </c>
      <c r="D41">
        <f>confusion_matrices_by_site!AK308</f>
        <v>0.53658536585365857</v>
      </c>
      <c r="E41">
        <f>confusion_matrices_by_site!AK309</f>
        <v>0.53658536585365857</v>
      </c>
      <c r="F41">
        <v>41</v>
      </c>
      <c r="G41">
        <f t="shared" si="0"/>
        <v>1.1578947368421053</v>
      </c>
      <c r="H41">
        <f t="shared" si="1"/>
        <v>1.0760551736979407</v>
      </c>
      <c r="I41">
        <f t="shared" si="2"/>
        <v>0.16805158447610483</v>
      </c>
      <c r="J41" s="98">
        <f t="shared" si="3"/>
        <v>0.16805158447610483</v>
      </c>
      <c r="K41" s="150">
        <f t="shared" si="4"/>
        <v>0</v>
      </c>
      <c r="L41" s="150"/>
    </row>
    <row r="42" spans="1:12">
      <c r="A42" t="s">
        <v>107</v>
      </c>
      <c r="B42" t="s">
        <v>98</v>
      </c>
      <c r="C42" t="s">
        <v>102</v>
      </c>
      <c r="D42">
        <f>confusion_matrices_by_site!AK328</f>
        <v>0.53658536585365857</v>
      </c>
      <c r="E42">
        <f>confusion_matrices_by_site!AK329</f>
        <v>0.53658536585365857</v>
      </c>
      <c r="F42">
        <v>41</v>
      </c>
      <c r="G42">
        <f t="shared" si="0"/>
        <v>1.1578947368421053</v>
      </c>
      <c r="H42">
        <f t="shared" si="1"/>
        <v>1.0760551736979407</v>
      </c>
      <c r="I42">
        <f t="shared" si="2"/>
        <v>0.16805158447610483</v>
      </c>
      <c r="J42" s="98">
        <f t="shared" si="3"/>
        <v>0.16805158447610483</v>
      </c>
      <c r="K42" s="150">
        <f t="shared" si="4"/>
        <v>0</v>
      </c>
      <c r="L42" s="150"/>
    </row>
    <row r="43" spans="1:12">
      <c r="A43" t="s">
        <v>107</v>
      </c>
      <c r="B43" t="s">
        <v>103</v>
      </c>
      <c r="C43" t="s">
        <v>99</v>
      </c>
      <c r="D43">
        <f>confusion_matrices_by_site!V265</f>
        <v>0.58536585365853655</v>
      </c>
      <c r="E43">
        <f>confusion_matrices_by_site!V266</f>
        <v>0.51516954193932185</v>
      </c>
      <c r="F43">
        <v>41</v>
      </c>
      <c r="G43">
        <f t="shared" si="0"/>
        <v>1.0325537280289059</v>
      </c>
      <c r="H43">
        <f t="shared" si="1"/>
        <v>1.0161465091358164</v>
      </c>
      <c r="I43">
        <f t="shared" si="2"/>
        <v>0.15869542296171527</v>
      </c>
      <c r="J43" s="98">
        <f t="shared" si="3"/>
        <v>0.15869542296171527</v>
      </c>
      <c r="K43" s="150">
        <f t="shared" si="4"/>
        <v>0.14478527607361952</v>
      </c>
      <c r="L43" s="150"/>
    </row>
    <row r="44" spans="1:12">
      <c r="A44" t="s">
        <v>107</v>
      </c>
      <c r="B44" t="s">
        <v>103</v>
      </c>
      <c r="C44" t="s">
        <v>100</v>
      </c>
      <c r="D44">
        <f>confusion_matrices_by_site!V285</f>
        <v>0.68292682926829273</v>
      </c>
      <c r="E44">
        <f>confusion_matrices_by_site!V286</f>
        <v>0.60678167757287327</v>
      </c>
      <c r="F44">
        <v>41</v>
      </c>
      <c r="G44">
        <f t="shared" si="0"/>
        <v>1.4004453894411115</v>
      </c>
      <c r="H44">
        <f t="shared" si="1"/>
        <v>1.1834041530437147</v>
      </c>
      <c r="I44">
        <f t="shared" si="2"/>
        <v>0.18481667841543664</v>
      </c>
      <c r="J44" s="98">
        <f t="shared" si="3"/>
        <v>0.18481667841543664</v>
      </c>
      <c r="K44" s="150">
        <f t="shared" si="4"/>
        <v>0.19364599092284435</v>
      </c>
      <c r="L44" s="150"/>
    </row>
    <row r="45" spans="1:12">
      <c r="A45" t="s">
        <v>107</v>
      </c>
      <c r="B45" t="s">
        <v>103</v>
      </c>
      <c r="C45" t="s">
        <v>101</v>
      </c>
      <c r="D45">
        <f>confusion_matrices_by_site!V305</f>
        <v>0.73170731707317072</v>
      </c>
      <c r="E45">
        <f>confusion_matrices_by_site!V306</f>
        <v>0.74241522903033907</v>
      </c>
      <c r="F45">
        <v>41</v>
      </c>
      <c r="G45">
        <f t="shared" si="0"/>
        <v>2.9587335790366365</v>
      </c>
      <c r="H45">
        <f t="shared" si="1"/>
        <v>1.7200969679168197</v>
      </c>
      <c r="I45">
        <f t="shared" si="2"/>
        <v>0.26863401429275469</v>
      </c>
      <c r="J45" s="98">
        <f t="shared" si="3"/>
        <v>0.26863401429275469</v>
      </c>
      <c r="K45" s="150">
        <f t="shared" si="4"/>
        <v>-4.1570438799076237E-2</v>
      </c>
      <c r="L45" s="150"/>
    </row>
    <row r="46" spans="1:12">
      <c r="A46" t="s">
        <v>107</v>
      </c>
      <c r="B46" t="s">
        <v>103</v>
      </c>
      <c r="C46" t="s">
        <v>102</v>
      </c>
      <c r="D46">
        <f>confusion_matrices_by_site!V325</f>
        <v>0.95121951219512191</v>
      </c>
      <c r="E46">
        <f>confusion_matrices_by_site!V326</f>
        <v>0.95121951219512191</v>
      </c>
      <c r="F46">
        <v>41</v>
      </c>
      <c r="G46">
        <f t="shared" si="0"/>
        <v>19.499999999999986</v>
      </c>
      <c r="H46">
        <f t="shared" si="1"/>
        <v>4.4158804331639221</v>
      </c>
      <c r="I46">
        <f t="shared" si="2"/>
        <v>0.68964465929749696</v>
      </c>
      <c r="J46" s="98">
        <f t="shared" si="3"/>
        <v>0.68964465929749696</v>
      </c>
      <c r="K46" s="150">
        <f t="shared" si="4"/>
        <v>0</v>
      </c>
      <c r="L46" s="150"/>
    </row>
    <row r="47" spans="1:12">
      <c r="A47" t="s">
        <v>107</v>
      </c>
      <c r="B47" t="s">
        <v>104</v>
      </c>
      <c r="C47" t="s">
        <v>99</v>
      </c>
      <c r="D47">
        <f>confusion_matrices_by_site!G264</f>
        <v>0.6097560975609756</v>
      </c>
      <c r="E47" s="76">
        <f>confusion_matrices_by_site!G265</f>
        <v>0.6097560975609756</v>
      </c>
      <c r="F47">
        <v>41</v>
      </c>
      <c r="G47">
        <f t="shared" si="0"/>
        <v>1.5625</v>
      </c>
      <c r="H47">
        <f t="shared" si="1"/>
        <v>1.25</v>
      </c>
      <c r="I47">
        <f t="shared" si="2"/>
        <v>0.1952172023607576</v>
      </c>
      <c r="J47" s="98">
        <f t="shared" si="3"/>
        <v>0.1952172023607576</v>
      </c>
      <c r="K47" s="150">
        <f t="shared" si="4"/>
        <v>0</v>
      </c>
      <c r="L47" s="150"/>
    </row>
    <row r="48" spans="1:12">
      <c r="A48" t="s">
        <v>107</v>
      </c>
      <c r="B48" t="s">
        <v>104</v>
      </c>
      <c r="C48" t="s">
        <v>100</v>
      </c>
      <c r="D48">
        <f>confusion_matrices_by_site!G284</f>
        <v>0.65853658536585369</v>
      </c>
      <c r="E48" s="76">
        <f>confusion_matrices_by_site!G285</f>
        <v>0.65853658536585369</v>
      </c>
      <c r="F48">
        <v>41</v>
      </c>
      <c r="G48">
        <f t="shared" si="0"/>
        <v>1.928571428571429</v>
      </c>
      <c r="H48">
        <f t="shared" si="1"/>
        <v>1.3887301496588274</v>
      </c>
      <c r="I48">
        <f t="shared" si="2"/>
        <v>0.21688321172034597</v>
      </c>
      <c r="J48" s="98">
        <f t="shared" si="3"/>
        <v>0.21688321172034597</v>
      </c>
      <c r="K48" s="150">
        <f t="shared" si="4"/>
        <v>0</v>
      </c>
      <c r="L48" s="150"/>
    </row>
    <row r="49" spans="1:12">
      <c r="A49" t="s">
        <v>107</v>
      </c>
      <c r="B49" t="s">
        <v>104</v>
      </c>
      <c r="C49" t="s">
        <v>101</v>
      </c>
      <c r="D49">
        <f>confusion_matrices_by_site!G304</f>
        <v>0.78048780487804881</v>
      </c>
      <c r="E49" s="76">
        <f>confusion_matrices_by_site!G305</f>
        <v>0.78048780487804881</v>
      </c>
      <c r="F49">
        <v>41</v>
      </c>
      <c r="G49">
        <f t="shared" si="0"/>
        <v>3.5555555555555562</v>
      </c>
      <c r="H49">
        <f t="shared" si="1"/>
        <v>1.8856180831641269</v>
      </c>
      <c r="I49">
        <f t="shared" si="2"/>
        <v>0.29448406953292416</v>
      </c>
      <c r="J49" s="98">
        <f t="shared" si="3"/>
        <v>0.29448406953292416</v>
      </c>
      <c r="K49" s="150">
        <f t="shared" si="4"/>
        <v>0</v>
      </c>
      <c r="L49" s="150"/>
    </row>
    <row r="50" spans="1:12">
      <c r="A50" t="s">
        <v>107</v>
      </c>
      <c r="B50" t="s">
        <v>104</v>
      </c>
      <c r="C50" t="s">
        <v>102</v>
      </c>
      <c r="D50" s="98">
        <f>confusion_matrices_by_site!G324</f>
        <v>1</v>
      </c>
      <c r="E50" s="76">
        <f>confusion_matrices_by_site!G325</f>
        <v>1</v>
      </c>
      <c r="F50">
        <v>41</v>
      </c>
      <c r="G50" t="s">
        <v>137</v>
      </c>
      <c r="H50" t="s">
        <v>137</v>
      </c>
      <c r="I50" t="s">
        <v>137</v>
      </c>
      <c r="J50" s="98" t="str">
        <f t="shared" si="3"/>
        <v>NA</v>
      </c>
      <c r="K50" s="150">
        <v>0</v>
      </c>
      <c r="L50" s="150"/>
    </row>
    <row r="51" spans="1:12">
      <c r="K51" s="152"/>
      <c r="L51" s="152"/>
    </row>
    <row r="52" spans="1:12" ht="34">
      <c r="A52" s="96" t="s">
        <v>87</v>
      </c>
      <c r="B52" s="96" t="s">
        <v>88</v>
      </c>
      <c r="C52" s="96" t="s">
        <v>89</v>
      </c>
      <c r="D52" s="96" t="s">
        <v>90</v>
      </c>
      <c r="E52" s="96" t="s">
        <v>91</v>
      </c>
      <c r="F52" s="96" t="s">
        <v>92</v>
      </c>
      <c r="G52" s="96" t="s">
        <v>93</v>
      </c>
      <c r="H52" s="97" t="s">
        <v>94</v>
      </c>
      <c r="I52" s="97" t="s">
        <v>95</v>
      </c>
      <c r="J52" s="97" t="s">
        <v>96</v>
      </c>
      <c r="K52" s="149" t="s">
        <v>32</v>
      </c>
      <c r="L52" s="152"/>
    </row>
    <row r="53" spans="1:12">
      <c r="A53" t="s">
        <v>97</v>
      </c>
      <c r="B53" t="s">
        <v>104</v>
      </c>
      <c r="C53" t="s">
        <v>108</v>
      </c>
      <c r="D53">
        <f>'confusion_matrices_forage-rando'!J21</f>
        <v>1.8181818181818181E-2</v>
      </c>
      <c r="E53">
        <f>'confusion_matrices_forage-rando'!J22</f>
        <v>3.7685950413223139E-2</v>
      </c>
      <c r="F53">
        <v>55</v>
      </c>
      <c r="G53">
        <f t="shared" ref="G53" si="8">(D53*(1-D53))/((1-E53)*(1-E53))</f>
        <v>1.9276790519996582E-2</v>
      </c>
      <c r="H53">
        <f t="shared" ref="H53" si="9">SQRT(G53)</f>
        <v>0.13884088201965797</v>
      </c>
      <c r="I53">
        <f t="shared" ref="I53" si="10">H53/SQRT(F53)</f>
        <v>1.8721300712385723E-2</v>
      </c>
      <c r="J53" s="98">
        <f t="shared" ref="J53:J70" si="11">I53</f>
        <v>1.8721300712385723E-2</v>
      </c>
      <c r="K53" s="150">
        <f t="shared" ref="K53:K70" si="12">(D53-E53)/(1-E53)</f>
        <v>-2.0267949158364822E-2</v>
      </c>
      <c r="L53" s="150"/>
    </row>
    <row r="54" spans="1:12">
      <c r="A54" t="s">
        <v>105</v>
      </c>
      <c r="B54" t="s">
        <v>104</v>
      </c>
      <c r="C54" t="s">
        <v>108</v>
      </c>
      <c r="D54">
        <f>'confusion_matrices_forage-rando'!J65</f>
        <v>0.125</v>
      </c>
      <c r="E54">
        <f>'confusion_matrices_forage-rando'!J66</f>
        <v>6.25E-2</v>
      </c>
      <c r="F54">
        <v>16</v>
      </c>
      <c r="G54">
        <f t="shared" ref="G54:G70" si="13">(D54*(1-D54))/((1-E54)*(1-E54))</f>
        <v>0.12444444444444444</v>
      </c>
      <c r="H54">
        <f t="shared" ref="H54:H70" si="14">SQRT(G54)</f>
        <v>0.35276684147527876</v>
      </c>
      <c r="I54">
        <f t="shared" ref="I54:I70" si="15">H54/SQRT(F54)</f>
        <v>8.819171036881969E-2</v>
      </c>
      <c r="J54" s="98">
        <f t="shared" si="11"/>
        <v>8.819171036881969E-2</v>
      </c>
      <c r="K54" s="150">
        <f t="shared" si="12"/>
        <v>6.6666666666666666E-2</v>
      </c>
      <c r="L54" s="150"/>
    </row>
    <row r="55" spans="1:12">
      <c r="A55" t="s">
        <v>106</v>
      </c>
      <c r="B55" t="s">
        <v>104</v>
      </c>
      <c r="C55" t="s">
        <v>108</v>
      </c>
      <c r="D55">
        <f>'confusion_matrices_forage-rando'!J109</f>
        <v>0.9</v>
      </c>
      <c r="E55">
        <f>'confusion_matrices_forage-rando'!J110</f>
        <v>0.66359999999999997</v>
      </c>
      <c r="F55">
        <v>50</v>
      </c>
      <c r="G55">
        <f t="shared" si="13"/>
        <v>0.79529918094788321</v>
      </c>
      <c r="H55">
        <f t="shared" si="14"/>
        <v>0.8917954815695599</v>
      </c>
      <c r="I55">
        <f t="shared" si="15"/>
        <v>0.12611892648987172</v>
      </c>
      <c r="J55" s="98">
        <f t="shared" si="11"/>
        <v>0.12611892648987172</v>
      </c>
      <c r="K55" s="150">
        <f t="shared" si="12"/>
        <v>0.70273483947681337</v>
      </c>
      <c r="L55" s="150"/>
    </row>
    <row r="56" spans="1:12">
      <c r="A56" t="s">
        <v>97</v>
      </c>
      <c r="B56" t="s">
        <v>103</v>
      </c>
      <c r="C56" t="s">
        <v>108</v>
      </c>
      <c r="D56">
        <f>'confusion_matrices_forage-rando'!W19</f>
        <v>5.4545454545454543E-2</v>
      </c>
      <c r="E56">
        <f>'confusion_matrices_forage-rando'!W20</f>
        <v>8.5950413223140495E-2</v>
      </c>
      <c r="F56">
        <v>55</v>
      </c>
      <c r="G56">
        <f t="shared" si="13"/>
        <v>6.1724802082345515E-2</v>
      </c>
      <c r="H56">
        <f t="shared" si="14"/>
        <v>0.2484447666632274</v>
      </c>
      <c r="I56">
        <f t="shared" si="15"/>
        <v>3.350028550281204E-2</v>
      </c>
      <c r="J56" s="98">
        <f t="shared" si="11"/>
        <v>3.350028550281204E-2</v>
      </c>
      <c r="K56" s="150">
        <f t="shared" si="12"/>
        <v>-3.4358047016274866E-2</v>
      </c>
      <c r="L56" s="150"/>
    </row>
    <row r="57" spans="1:12">
      <c r="A57" t="s">
        <v>105</v>
      </c>
      <c r="B57" t="s">
        <v>103</v>
      </c>
      <c r="C57" t="s">
        <v>108</v>
      </c>
      <c r="D57">
        <f>'confusion_matrices_forage-rando'!W63</f>
        <v>6.25E-2</v>
      </c>
      <c r="E57">
        <f>'confusion_matrices_forage-rando'!W64</f>
        <v>3.90625E-2</v>
      </c>
      <c r="F57">
        <v>16</v>
      </c>
      <c r="G57">
        <f t="shared" si="13"/>
        <v>6.3454293079516166E-2</v>
      </c>
      <c r="H57">
        <f t="shared" si="14"/>
        <v>0.25190135585088891</v>
      </c>
      <c r="I57">
        <f t="shared" si="15"/>
        <v>6.2975338962722227E-2</v>
      </c>
      <c r="J57" s="98">
        <f t="shared" si="11"/>
        <v>6.2975338962722227E-2</v>
      </c>
      <c r="K57" s="150">
        <f t="shared" si="12"/>
        <v>2.4390243902439025E-2</v>
      </c>
      <c r="L57" s="150"/>
    </row>
    <row r="58" spans="1:12">
      <c r="A58" t="s">
        <v>106</v>
      </c>
      <c r="B58" t="s">
        <v>103</v>
      </c>
      <c r="C58" t="s">
        <v>108</v>
      </c>
      <c r="D58">
        <f>'confusion_matrices_forage-rando'!W107</f>
        <v>0.92</v>
      </c>
      <c r="E58">
        <f>'confusion_matrices_forage-rando'!W108</f>
        <v>0.6704</v>
      </c>
      <c r="F58">
        <v>50</v>
      </c>
      <c r="G58">
        <f t="shared" si="13"/>
        <v>0.67749080968988562</v>
      </c>
      <c r="H58">
        <f t="shared" si="14"/>
        <v>0.82309829892296926</v>
      </c>
      <c r="I58">
        <f t="shared" si="15"/>
        <v>0.1164036777503087</v>
      </c>
      <c r="J58" s="98">
        <f t="shared" si="11"/>
        <v>0.1164036777503087</v>
      </c>
      <c r="K58" s="150">
        <f t="shared" si="12"/>
        <v>0.75728155339805836</v>
      </c>
      <c r="L58" s="150"/>
    </row>
    <row r="59" spans="1:12">
      <c r="A59" t="s">
        <v>97</v>
      </c>
      <c r="B59" t="s">
        <v>98</v>
      </c>
      <c r="C59" t="s">
        <v>108</v>
      </c>
      <c r="D59" s="76">
        <f>'confusion_matrices_forage-rando'!AL22</f>
        <v>0.27272727272727271</v>
      </c>
      <c r="E59">
        <f>'confusion_matrices_forage-rando'!AL23</f>
        <v>0.11801652892561984</v>
      </c>
      <c r="F59">
        <v>55</v>
      </c>
      <c r="G59">
        <f t="shared" si="13"/>
        <v>0.25497933192324373</v>
      </c>
      <c r="H59">
        <f t="shared" si="14"/>
        <v>0.50495478205800148</v>
      </c>
      <c r="I59">
        <f t="shared" si="15"/>
        <v>6.8088088922732201E-2</v>
      </c>
      <c r="J59" s="98">
        <f t="shared" si="11"/>
        <v>6.8088088922732201E-2</v>
      </c>
      <c r="K59" s="150">
        <f t="shared" si="12"/>
        <v>0.17541229385307344</v>
      </c>
      <c r="L59" s="150"/>
    </row>
    <row r="60" spans="1:12">
      <c r="A60" t="s">
        <v>105</v>
      </c>
      <c r="B60" t="s">
        <v>98</v>
      </c>
      <c r="C60" t="s">
        <v>108</v>
      </c>
      <c r="D60">
        <f>'confusion_matrices_forage-rando'!AL66</f>
        <v>0.9375</v>
      </c>
      <c r="E60">
        <f>'confusion_matrices_forage-rando'!AL67</f>
        <v>0.5546875</v>
      </c>
      <c r="F60">
        <v>16</v>
      </c>
      <c r="G60">
        <f t="shared" si="13"/>
        <v>0.29547553093259465</v>
      </c>
      <c r="H60">
        <f t="shared" si="14"/>
        <v>0.54357660999402346</v>
      </c>
      <c r="I60">
        <f t="shared" si="15"/>
        <v>0.13589415249850587</v>
      </c>
      <c r="J60" s="98">
        <f t="shared" si="11"/>
        <v>0.13589415249850587</v>
      </c>
      <c r="K60" s="153">
        <f t="shared" si="12"/>
        <v>0.85964912280701755</v>
      </c>
      <c r="L60" s="153"/>
    </row>
    <row r="61" spans="1:12">
      <c r="A61" t="s">
        <v>106</v>
      </c>
      <c r="B61" t="s">
        <v>98</v>
      </c>
      <c r="C61" t="s">
        <v>108</v>
      </c>
      <c r="D61">
        <f>'confusion_matrices_forage-rando'!AL110</f>
        <v>0.44</v>
      </c>
      <c r="E61">
        <f>'confusion_matrices_forage-rando'!AL111</f>
        <v>0.2288</v>
      </c>
      <c r="F61">
        <v>50</v>
      </c>
      <c r="G61">
        <f t="shared" si="13"/>
        <v>0.41429210929563892</v>
      </c>
      <c r="H61">
        <f t="shared" si="14"/>
        <v>0.64365527209496154</v>
      </c>
      <c r="I61">
        <f t="shared" si="15"/>
        <v>9.1026601528963927E-2</v>
      </c>
      <c r="J61" s="98">
        <f t="shared" si="11"/>
        <v>9.1026601528963927E-2</v>
      </c>
      <c r="K61" s="153">
        <f t="shared" si="12"/>
        <v>0.27385892116182575</v>
      </c>
      <c r="L61" s="153"/>
    </row>
    <row r="62" spans="1:12">
      <c r="A62" t="s">
        <v>97</v>
      </c>
      <c r="B62" t="s">
        <v>104</v>
      </c>
      <c r="C62" t="s">
        <v>109</v>
      </c>
      <c r="D62">
        <f>'confusion_matrices_forage-rando'!J43</f>
        <v>1.8181818181818181E-2</v>
      </c>
      <c r="E62">
        <f>'confusion_matrices_forage-rando'!J44</f>
        <v>5.2231404958677688E-2</v>
      </c>
      <c r="F62">
        <v>55</v>
      </c>
      <c r="G62">
        <f t="shared" si="13"/>
        <v>1.9873014660287024E-2</v>
      </c>
      <c r="H62">
        <f t="shared" si="14"/>
        <v>0.14097168034852611</v>
      </c>
      <c r="I62">
        <f t="shared" si="15"/>
        <v>1.9008617500437686E-2</v>
      </c>
      <c r="J62" s="98">
        <f t="shared" si="11"/>
        <v>1.9008617500437686E-2</v>
      </c>
      <c r="K62" s="150">
        <f t="shared" si="12"/>
        <v>-3.5926055109870951E-2</v>
      </c>
      <c r="L62" s="150"/>
    </row>
    <row r="63" spans="1:12">
      <c r="A63" t="s">
        <v>105</v>
      </c>
      <c r="B63" t="s">
        <v>104</v>
      </c>
      <c r="C63" t="s">
        <v>109</v>
      </c>
      <c r="D63">
        <f>'confusion_matrices_forage-rando'!J87</f>
        <v>0.25</v>
      </c>
      <c r="E63">
        <f>'confusion_matrices_forage-rando'!J88</f>
        <v>0.1953125</v>
      </c>
      <c r="F63">
        <v>16</v>
      </c>
      <c r="G63">
        <f t="shared" si="13"/>
        <v>0.28956546328588934</v>
      </c>
      <c r="H63">
        <f t="shared" si="14"/>
        <v>0.53811287225440851</v>
      </c>
      <c r="I63">
        <f t="shared" si="15"/>
        <v>0.13452821806360213</v>
      </c>
      <c r="J63" s="98">
        <f t="shared" si="11"/>
        <v>0.13452821806360213</v>
      </c>
      <c r="K63" s="150">
        <f t="shared" si="12"/>
        <v>6.7961165048543687E-2</v>
      </c>
      <c r="L63" s="150"/>
    </row>
    <row r="64" spans="1:12">
      <c r="A64" t="s">
        <v>106</v>
      </c>
      <c r="B64" t="s">
        <v>104</v>
      </c>
      <c r="C64" t="s">
        <v>109</v>
      </c>
      <c r="D64">
        <f>'confusion_matrices_forage-rando'!J132</f>
        <v>0.7142857142857143</v>
      </c>
      <c r="E64">
        <f>'confusion_matrices_forage-rando'!J133</f>
        <v>0.43481882548937945</v>
      </c>
      <c r="F64">
        <v>49</v>
      </c>
      <c r="G64">
        <f t="shared" si="13"/>
        <v>0.63889361041223514</v>
      </c>
      <c r="H64">
        <f t="shared" si="14"/>
        <v>0.79930820739701847</v>
      </c>
      <c r="I64">
        <f t="shared" si="15"/>
        <v>0.11418688677100264</v>
      </c>
      <c r="J64" s="98">
        <f t="shared" si="11"/>
        <v>0.11418688677100264</v>
      </c>
      <c r="K64" s="150">
        <f t="shared" si="12"/>
        <v>0.49447310243183495</v>
      </c>
      <c r="L64" s="150"/>
    </row>
    <row r="65" spans="1:12">
      <c r="A65" t="s">
        <v>97</v>
      </c>
      <c r="B65" t="s">
        <v>103</v>
      </c>
      <c r="C65" t="s">
        <v>109</v>
      </c>
      <c r="D65">
        <f>'confusion_matrices_forage-rando'!W41</f>
        <v>7.2727272727272724E-2</v>
      </c>
      <c r="E65">
        <f>'confusion_matrices_forage-rando'!W42</f>
        <v>7.768595041322314E-2</v>
      </c>
      <c r="F65">
        <v>55</v>
      </c>
      <c r="G65">
        <f t="shared" si="13"/>
        <v>7.9276987705707777E-2</v>
      </c>
      <c r="H65">
        <f t="shared" si="14"/>
        <v>0.28156169431530947</v>
      </c>
      <c r="I65">
        <f t="shared" si="15"/>
        <v>3.7965771116459809E-2</v>
      </c>
      <c r="J65" s="98">
        <f t="shared" si="11"/>
        <v>3.7965771116459809E-2</v>
      </c>
      <c r="K65" s="150">
        <f t="shared" si="12"/>
        <v>-5.3763440860215084E-3</v>
      </c>
      <c r="L65" s="150"/>
    </row>
    <row r="66" spans="1:12">
      <c r="A66" t="s">
        <v>105</v>
      </c>
      <c r="B66" t="s">
        <v>103</v>
      </c>
      <c r="C66" t="s">
        <v>109</v>
      </c>
      <c r="D66">
        <f>'confusion_matrices_forage-rando'!W85</f>
        <v>0.25</v>
      </c>
      <c r="E66">
        <f>'confusion_matrices_forage-rando'!W86</f>
        <v>0.2109375</v>
      </c>
      <c r="F66">
        <v>16</v>
      </c>
      <c r="G66">
        <f t="shared" si="13"/>
        <v>0.30114694637780609</v>
      </c>
      <c r="H66">
        <f t="shared" si="14"/>
        <v>0.54876857269508983</v>
      </c>
      <c r="I66">
        <f t="shared" si="15"/>
        <v>0.13719214317377246</v>
      </c>
      <c r="J66" s="98">
        <f t="shared" si="11"/>
        <v>0.13719214317377246</v>
      </c>
      <c r="K66" s="150">
        <f t="shared" si="12"/>
        <v>4.9504950495049507E-2</v>
      </c>
      <c r="L66" s="150"/>
    </row>
    <row r="67" spans="1:12">
      <c r="A67" t="s">
        <v>106</v>
      </c>
      <c r="B67" t="s">
        <v>103</v>
      </c>
      <c r="C67" t="s">
        <v>109</v>
      </c>
      <c r="D67">
        <f>'confusion_matrices_forage-rando'!W130</f>
        <v>0.73469387755102045</v>
      </c>
      <c r="E67">
        <f>'confusion_matrices_forage-rando'!W131</f>
        <v>0.44189920866305704</v>
      </c>
      <c r="F67">
        <v>49</v>
      </c>
      <c r="G67">
        <f t="shared" si="13"/>
        <v>0.62578970817554025</v>
      </c>
      <c r="H67">
        <f t="shared" si="14"/>
        <v>0.79106871267642753</v>
      </c>
      <c r="I67">
        <f t="shared" si="15"/>
        <v>0.11300981609663251</v>
      </c>
      <c r="J67" s="98">
        <f t="shared" si="11"/>
        <v>0.11300981609663251</v>
      </c>
      <c r="K67" s="150">
        <f t="shared" si="12"/>
        <v>0.52462686567164196</v>
      </c>
      <c r="L67" s="150"/>
    </row>
    <row r="68" spans="1:12">
      <c r="A68" t="s">
        <v>97</v>
      </c>
      <c r="B68" t="s">
        <v>98</v>
      </c>
      <c r="C68" t="s">
        <v>109</v>
      </c>
      <c r="D68">
        <f>'confusion_matrices_forage-rando'!AL44</f>
        <v>0.49090909090909091</v>
      </c>
      <c r="E68">
        <f>'confusion_matrices_forage-rando'!AL45</f>
        <v>0.15768595041322314</v>
      </c>
      <c r="F68">
        <v>55</v>
      </c>
      <c r="G68">
        <f t="shared" si="13"/>
        <v>0.35224783066227322</v>
      </c>
      <c r="H68">
        <f t="shared" si="14"/>
        <v>0.59350470146602308</v>
      </c>
      <c r="I68">
        <f t="shared" si="15"/>
        <v>8.0028157619936063E-2</v>
      </c>
      <c r="J68" s="98">
        <f t="shared" si="11"/>
        <v>8.0028157619936063E-2</v>
      </c>
      <c r="K68" s="150">
        <f t="shared" si="12"/>
        <v>0.39560439560439559</v>
      </c>
      <c r="L68" s="150"/>
    </row>
    <row r="69" spans="1:12">
      <c r="A69" t="s">
        <v>105</v>
      </c>
      <c r="B69" t="s">
        <v>98</v>
      </c>
      <c r="C69" t="s">
        <v>109</v>
      </c>
      <c r="D69">
        <f>'confusion_matrices_forage-rando'!AL88</f>
        <v>0.9375</v>
      </c>
      <c r="E69">
        <f>'confusion_matrices_forage-rando'!AL89</f>
        <v>0.5390625</v>
      </c>
      <c r="F69">
        <v>16</v>
      </c>
      <c r="G69">
        <f t="shared" si="13"/>
        <v>0.27578282102844009</v>
      </c>
      <c r="H69">
        <f t="shared" si="14"/>
        <v>0.52515028423151411</v>
      </c>
      <c r="I69">
        <f t="shared" si="15"/>
        <v>0.13128757105787853</v>
      </c>
      <c r="J69" s="98">
        <f t="shared" si="11"/>
        <v>0.13128757105787853</v>
      </c>
      <c r="K69" s="153">
        <f t="shared" si="12"/>
        <v>0.86440677966101698</v>
      </c>
      <c r="L69" s="153"/>
    </row>
    <row r="70" spans="1:12">
      <c r="A70" t="s">
        <v>106</v>
      </c>
      <c r="B70" t="s">
        <v>98</v>
      </c>
      <c r="C70" t="s">
        <v>109</v>
      </c>
      <c r="D70">
        <f>'confusion_matrices_forage-rando'!AL133</f>
        <v>0.69387755102040816</v>
      </c>
      <c r="E70">
        <f>'confusion_matrices_forage-rando'!AL134</f>
        <v>0.33819241982507287</v>
      </c>
      <c r="F70">
        <v>49</v>
      </c>
      <c r="G70">
        <f t="shared" si="13"/>
        <v>0.48496962875274119</v>
      </c>
      <c r="H70">
        <f t="shared" si="14"/>
        <v>0.69639760823307051</v>
      </c>
      <c r="I70">
        <f t="shared" si="15"/>
        <v>9.9485372604724356E-2</v>
      </c>
      <c r="J70" s="98">
        <f t="shared" si="11"/>
        <v>9.9485372604724356E-2</v>
      </c>
      <c r="K70" s="153">
        <f t="shared" si="12"/>
        <v>0.5374449339207048</v>
      </c>
      <c r="L70" s="153"/>
    </row>
  </sheetData>
  <mergeCells count="1">
    <mergeCell ref="G1:K1"/>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C0C0E-CCA2-934E-B387-4877D0BB698D}">
  <dimension ref="A1:S50"/>
  <sheetViews>
    <sheetView workbookViewId="0">
      <selection activeCell="E3" sqref="E3"/>
    </sheetView>
  </sheetViews>
  <sheetFormatPr baseColWidth="10" defaultRowHeight="16"/>
  <sheetData>
    <row r="1" spans="1:19" ht="37" customHeight="1">
      <c r="A1" s="198" t="s">
        <v>138</v>
      </c>
      <c r="B1" s="198"/>
      <c r="C1" s="198"/>
      <c r="D1" s="198"/>
      <c r="E1" s="198"/>
      <c r="F1" s="198"/>
      <c r="G1" s="198"/>
      <c r="H1" s="198"/>
      <c r="I1" s="154"/>
      <c r="J1" s="199" t="s">
        <v>139</v>
      </c>
      <c r="K1" s="199"/>
      <c r="L1" s="199"/>
      <c r="M1" s="199"/>
      <c r="N1" s="199"/>
      <c r="O1" s="199"/>
      <c r="P1" s="200" t="s">
        <v>140</v>
      </c>
      <c r="Q1" s="200"/>
      <c r="R1" s="200"/>
      <c r="S1" s="200"/>
    </row>
    <row r="2" spans="1:19" ht="36">
      <c r="A2" s="155" t="s">
        <v>141</v>
      </c>
      <c r="B2" s="156" t="s">
        <v>142</v>
      </c>
      <c r="C2" s="156" t="s">
        <v>143</v>
      </c>
      <c r="D2" s="156" t="s">
        <v>89</v>
      </c>
      <c r="E2" s="156" t="s">
        <v>144</v>
      </c>
      <c r="F2" s="156" t="s">
        <v>145</v>
      </c>
      <c r="G2" s="156" t="s">
        <v>146</v>
      </c>
      <c r="H2" s="156" t="s">
        <v>147</v>
      </c>
      <c r="I2" s="157"/>
      <c r="J2" s="158" t="s">
        <v>148</v>
      </c>
      <c r="K2" s="158" t="s">
        <v>149</v>
      </c>
      <c r="L2" s="159" t="s">
        <v>150</v>
      </c>
      <c r="M2" s="159" t="s">
        <v>151</v>
      </c>
      <c r="N2" s="159" t="s">
        <v>152</v>
      </c>
      <c r="O2" s="159" t="s">
        <v>153</v>
      </c>
      <c r="P2" s="159" t="s">
        <v>154</v>
      </c>
      <c r="Q2" s="159" t="s">
        <v>155</v>
      </c>
      <c r="R2" s="158" t="s">
        <v>156</v>
      </c>
      <c r="S2" s="158" t="s">
        <v>157</v>
      </c>
    </row>
    <row r="3" spans="1:19" ht="12" customHeight="1">
      <c r="A3" s="195" t="s">
        <v>97</v>
      </c>
      <c r="B3" s="195" t="s">
        <v>98</v>
      </c>
      <c r="C3" s="197" t="s">
        <v>158</v>
      </c>
      <c r="D3" s="160" t="s">
        <v>99</v>
      </c>
      <c r="E3" s="161" t="str">
        <f>CONCATENATE(K3&amp;" ("&amp;S3&amp;")")</f>
        <v>23.6 (4.1)</v>
      </c>
      <c r="F3" s="162" t="str">
        <f>CONCATENATE(M3&amp;" ("&amp;O3&amp;")")</f>
        <v>0.11 (0.05)</v>
      </c>
      <c r="G3" s="160" t="str">
        <f>IF(L3&lt;0.4,"Poor",IF(L3&gt;0.8,"Strong","Moderate"))</f>
        <v>Poor</v>
      </c>
      <c r="H3" s="160">
        <f>RANK(K3,K$3:K$50)</f>
        <v>28</v>
      </c>
      <c r="I3" s="163"/>
      <c r="J3" s="164">
        <f>calculating_kappa_errors!D3</f>
        <v>0.23636363636363636</v>
      </c>
      <c r="K3" s="165">
        <f>ROUND(J3,3)*100</f>
        <v>23.599999999999998</v>
      </c>
      <c r="L3" s="164">
        <f>calculating_kappa_errors!K3</f>
        <v>0.10681488641855968</v>
      </c>
      <c r="M3" s="166">
        <f>ROUND(L3,2)</f>
        <v>0.11</v>
      </c>
      <c r="N3" s="167">
        <f>calculating_kappa_errors!J3</f>
        <v>4.7379684516604147E-2</v>
      </c>
      <c r="O3" s="166">
        <f>ROUND(N3,2)</f>
        <v>0.05</v>
      </c>
      <c r="P3" s="164">
        <v>110</v>
      </c>
      <c r="Q3" s="164">
        <f>J3</f>
        <v>0.23636363636363636</v>
      </c>
      <c r="R3" s="164">
        <f>SQRT((Q3*(1-Q3))/P3)</f>
        <v>4.0507672423493381E-2</v>
      </c>
      <c r="S3" s="165">
        <f>ROUND(R3,3)*100</f>
        <v>4.1000000000000005</v>
      </c>
    </row>
    <row r="4" spans="1:19" ht="12" customHeight="1">
      <c r="A4" s="195"/>
      <c r="B4" s="195"/>
      <c r="C4" s="197"/>
      <c r="D4" s="160" t="s">
        <v>100</v>
      </c>
      <c r="E4" s="161" t="str">
        <f t="shared" ref="E4:E50" si="0">CONCATENATE(K4&amp;" ("&amp;S4&amp;")")</f>
        <v>23.6 (4)</v>
      </c>
      <c r="F4" s="162" t="str">
        <f t="shared" ref="F4:F50" si="1">CONCATENATE(M4&amp;" ("&amp;O4&amp;")")</f>
        <v>0.11 (0.05)</v>
      </c>
      <c r="G4" s="160" t="str">
        <f t="shared" ref="G4:G14" si="2">IF(L4&lt;0.4,"Poor",IF(L4&gt;0.8,"Strong","Moderate"))</f>
        <v>Poor</v>
      </c>
      <c r="H4" s="160">
        <f t="shared" ref="H4:H50" si="3">RANK(K4,K$3:K$50)</f>
        <v>28</v>
      </c>
      <c r="I4" s="163"/>
      <c r="J4" s="164">
        <f>calculating_kappa_errors!D4</f>
        <v>0.23636363636363636</v>
      </c>
      <c r="K4" s="165">
        <f t="shared" ref="K4:K50" si="4">ROUND(J4,3)*100</f>
        <v>23.599999999999998</v>
      </c>
      <c r="L4" s="164">
        <f>calculating_kappa_errors!K4</f>
        <v>0.11196540124939934</v>
      </c>
      <c r="M4" s="166">
        <f t="shared" ref="M4:M50" si="5">ROUND(L4,2)</f>
        <v>0.11</v>
      </c>
      <c r="N4" s="167">
        <f>calculating_kappa_errors!J4</f>
        <v>4.7106471535249383E-2</v>
      </c>
      <c r="O4" s="166">
        <f t="shared" ref="O4:O50" si="6">ROUND(N4,2)</f>
        <v>0.05</v>
      </c>
      <c r="P4" s="164">
        <v>111</v>
      </c>
      <c r="Q4" s="164">
        <f t="shared" ref="Q4:Q50" si="7">J4</f>
        <v>0.23636363636363636</v>
      </c>
      <c r="R4" s="164">
        <f t="shared" ref="R4:R50" si="8">SQRT((Q4*(1-Q4))/P4)</f>
        <v>4.032479260723075E-2</v>
      </c>
      <c r="S4" s="165">
        <f t="shared" ref="S4:S50" si="9">ROUND(R4,3)*100</f>
        <v>4</v>
      </c>
    </row>
    <row r="5" spans="1:19" ht="12" customHeight="1">
      <c r="A5" s="195"/>
      <c r="B5" s="195"/>
      <c r="C5" s="197"/>
      <c r="D5" s="160" t="s">
        <v>159</v>
      </c>
      <c r="E5" s="161" t="str">
        <f t="shared" si="0"/>
        <v>20 (3.8)</v>
      </c>
      <c r="F5" s="162" t="str">
        <f t="shared" si="1"/>
        <v>0.1 (0.04)</v>
      </c>
      <c r="G5" s="160" t="str">
        <f t="shared" si="2"/>
        <v>Poor</v>
      </c>
      <c r="H5" s="160">
        <f t="shared" si="3"/>
        <v>31</v>
      </c>
      <c r="I5" s="163"/>
      <c r="J5" s="164">
        <f>calculating_kappa_errors!D5</f>
        <v>0.2</v>
      </c>
      <c r="K5" s="165">
        <f t="shared" si="4"/>
        <v>20</v>
      </c>
      <c r="L5" s="164">
        <f>calculating_kappa_errors!K5</f>
        <v>9.5834111713058112E-2</v>
      </c>
      <c r="M5" s="166">
        <f t="shared" si="5"/>
        <v>0.1</v>
      </c>
      <c r="N5" s="167">
        <f>calculating_kappa_errors!J5</f>
        <v>4.3104417447680433E-2</v>
      </c>
      <c r="O5" s="166">
        <f t="shared" si="6"/>
        <v>0.04</v>
      </c>
      <c r="P5" s="164">
        <v>112</v>
      </c>
      <c r="Q5" s="164">
        <f t="shared" si="7"/>
        <v>0.2</v>
      </c>
      <c r="R5" s="164">
        <f t="shared" si="8"/>
        <v>3.7796447300922728E-2</v>
      </c>
      <c r="S5" s="165">
        <f t="shared" si="9"/>
        <v>3.8</v>
      </c>
    </row>
    <row r="6" spans="1:19" ht="12" customHeight="1">
      <c r="A6" s="195"/>
      <c r="B6" s="195"/>
      <c r="C6" s="197"/>
      <c r="D6" s="160" t="s">
        <v>160</v>
      </c>
      <c r="E6" s="161" t="str">
        <f t="shared" si="0"/>
        <v>5.5 (2.1)</v>
      </c>
      <c r="F6" s="162" t="str">
        <f t="shared" si="1"/>
        <v>-0.07 (0.02)</v>
      </c>
      <c r="G6" s="160" t="str">
        <f t="shared" si="2"/>
        <v>Poor</v>
      </c>
      <c r="H6" s="160">
        <f t="shared" si="3"/>
        <v>44</v>
      </c>
      <c r="I6" s="163"/>
      <c r="J6" s="164">
        <f>calculating_kappa_errors!D6</f>
        <v>5.4545454545454543E-2</v>
      </c>
      <c r="K6" s="165">
        <f t="shared" si="4"/>
        <v>5.5</v>
      </c>
      <c r="L6" s="164">
        <f>calculating_kappa_errors!K6</f>
        <v>-7.3372114843310188E-2</v>
      </c>
      <c r="M6" s="166">
        <f t="shared" si="5"/>
        <v>-7.0000000000000007E-2</v>
      </c>
      <c r="N6" s="167">
        <f>calculating_kappa_errors!J6</f>
        <v>2.4581757018296593E-2</v>
      </c>
      <c r="O6" s="166">
        <f t="shared" si="6"/>
        <v>0.02</v>
      </c>
      <c r="P6" s="164">
        <v>113</v>
      </c>
      <c r="Q6" s="164">
        <f t="shared" si="7"/>
        <v>5.4545454545454543E-2</v>
      </c>
      <c r="R6" s="164">
        <f t="shared" si="8"/>
        <v>2.1362908873116974E-2</v>
      </c>
      <c r="S6" s="165">
        <f t="shared" si="9"/>
        <v>2.1</v>
      </c>
    </row>
    <row r="7" spans="1:19" ht="12" customHeight="1">
      <c r="A7" s="195"/>
      <c r="B7" s="195" t="s">
        <v>161</v>
      </c>
      <c r="C7" s="197" t="s">
        <v>162</v>
      </c>
      <c r="D7" s="160" t="s">
        <v>99</v>
      </c>
      <c r="E7" s="161" t="str">
        <f t="shared" si="0"/>
        <v>6.4 (2.3)</v>
      </c>
      <c r="F7" s="162" t="str">
        <f t="shared" si="1"/>
        <v>-0.02 (0.03)</v>
      </c>
      <c r="G7" s="160" t="str">
        <f t="shared" si="2"/>
        <v>Poor</v>
      </c>
      <c r="H7" s="160">
        <f t="shared" si="3"/>
        <v>39</v>
      </c>
      <c r="I7" s="163"/>
      <c r="J7" s="164">
        <f>calculating_kappa_errors!D7</f>
        <v>6.363636363636363E-2</v>
      </c>
      <c r="K7" s="165">
        <f t="shared" si="4"/>
        <v>6.4</v>
      </c>
      <c r="L7" s="164">
        <f>calculating_kappa_errors!K7</f>
        <v>-2.0261143628995955E-2</v>
      </c>
      <c r="M7" s="166">
        <f t="shared" si="5"/>
        <v>-0.02</v>
      </c>
      <c r="N7" s="167">
        <f>calculating_kappa_errors!J7</f>
        <v>2.5359775935835889E-2</v>
      </c>
      <c r="O7" s="166">
        <f t="shared" si="6"/>
        <v>0.03</v>
      </c>
      <c r="P7" s="164">
        <v>114</v>
      </c>
      <c r="Q7" s="164">
        <f t="shared" si="7"/>
        <v>6.363636363636363E-2</v>
      </c>
      <c r="R7" s="164">
        <f t="shared" si="8"/>
        <v>2.2862436989161274E-2</v>
      </c>
      <c r="S7" s="165">
        <f t="shared" si="9"/>
        <v>2.2999999999999998</v>
      </c>
    </row>
    <row r="8" spans="1:19" ht="12" customHeight="1">
      <c r="A8" s="195"/>
      <c r="B8" s="195"/>
      <c r="C8" s="197"/>
      <c r="D8" s="160" t="s">
        <v>100</v>
      </c>
      <c r="E8" s="161" t="str">
        <f t="shared" si="0"/>
        <v>6.4 (2.3)</v>
      </c>
      <c r="F8" s="162" t="str">
        <f t="shared" si="1"/>
        <v>0 (0.02)</v>
      </c>
      <c r="G8" s="160" t="str">
        <f t="shared" si="2"/>
        <v>Poor</v>
      </c>
      <c r="H8" s="160">
        <f t="shared" si="3"/>
        <v>39</v>
      </c>
      <c r="I8" s="163"/>
      <c r="J8" s="164">
        <f>calculating_kappa_errors!D8</f>
        <v>6.363636363636363E-2</v>
      </c>
      <c r="K8" s="165">
        <f t="shared" si="4"/>
        <v>6.4</v>
      </c>
      <c r="L8" s="164">
        <f>calculating_kappa_errors!K8</f>
        <v>4.3061780472800669E-3</v>
      </c>
      <c r="M8" s="166">
        <f t="shared" si="5"/>
        <v>0</v>
      </c>
      <c r="N8" s="167">
        <f>calculating_kappa_errors!J8</f>
        <v>2.4749126616350956E-2</v>
      </c>
      <c r="O8" s="166">
        <f t="shared" si="6"/>
        <v>0.02</v>
      </c>
      <c r="P8" s="164">
        <v>115</v>
      </c>
      <c r="Q8" s="164">
        <f t="shared" si="7"/>
        <v>6.363636363636363E-2</v>
      </c>
      <c r="R8" s="164">
        <f t="shared" si="8"/>
        <v>2.2762818053457673E-2</v>
      </c>
      <c r="S8" s="165">
        <f t="shared" si="9"/>
        <v>2.2999999999999998</v>
      </c>
    </row>
    <row r="9" spans="1:19" ht="12" customHeight="1">
      <c r="A9" s="195"/>
      <c r="B9" s="195"/>
      <c r="C9" s="197"/>
      <c r="D9" s="160" t="s">
        <v>159</v>
      </c>
      <c r="E9" s="161" t="str">
        <f t="shared" si="0"/>
        <v>5.5 (2.1)</v>
      </c>
      <c r="F9" s="162" t="str">
        <f t="shared" si="1"/>
        <v>-0.01 (0.02)</v>
      </c>
      <c r="G9" s="160" t="str">
        <f t="shared" si="2"/>
        <v>Poor</v>
      </c>
      <c r="H9" s="160">
        <f t="shared" si="3"/>
        <v>44</v>
      </c>
      <c r="I9" s="163"/>
      <c r="J9" s="164">
        <f>calculating_kappa_errors!D9</f>
        <v>5.4545454545454543E-2</v>
      </c>
      <c r="K9" s="165">
        <f t="shared" si="4"/>
        <v>5.5</v>
      </c>
      <c r="L9" s="164">
        <f>calculating_kappa_errors!K9</f>
        <v>-8.4626234132581125E-3</v>
      </c>
      <c r="M9" s="166">
        <f t="shared" si="5"/>
        <v>-0.01</v>
      </c>
      <c r="N9" s="167">
        <f>calculating_kappa_errors!J9</f>
        <v>2.309523680368521E-2</v>
      </c>
      <c r="O9" s="166">
        <f t="shared" si="6"/>
        <v>0.02</v>
      </c>
      <c r="P9" s="164">
        <v>116</v>
      </c>
      <c r="Q9" s="164">
        <f t="shared" si="7"/>
        <v>5.4545454545454543E-2</v>
      </c>
      <c r="R9" s="164">
        <f t="shared" si="8"/>
        <v>2.1084854822320045E-2</v>
      </c>
      <c r="S9" s="165">
        <f t="shared" si="9"/>
        <v>2.1</v>
      </c>
    </row>
    <row r="10" spans="1:19" ht="12" customHeight="1">
      <c r="A10" s="195"/>
      <c r="B10" s="195"/>
      <c r="C10" s="197"/>
      <c r="D10" s="160" t="s">
        <v>160</v>
      </c>
      <c r="E10" s="161" t="str">
        <f t="shared" si="0"/>
        <v>6.4 (2.3)</v>
      </c>
      <c r="F10" s="162" t="str">
        <f t="shared" si="1"/>
        <v>0 (0.02)</v>
      </c>
      <c r="G10" s="160" t="str">
        <f t="shared" si="2"/>
        <v>Poor</v>
      </c>
      <c r="H10" s="160">
        <f t="shared" si="3"/>
        <v>39</v>
      </c>
      <c r="I10" s="163"/>
      <c r="J10" s="164">
        <f>calculating_kappa_errors!D10</f>
        <v>6.363636363636363E-2</v>
      </c>
      <c r="K10" s="165">
        <f t="shared" si="4"/>
        <v>6.4</v>
      </c>
      <c r="L10" s="164">
        <f>calculating_kappa_errors!K10</f>
        <v>0</v>
      </c>
      <c r="M10" s="166">
        <f t="shared" si="5"/>
        <v>0</v>
      </c>
      <c r="N10" s="167">
        <f>calculating_kappa_errors!J10</f>
        <v>2.4856161674091576E-2</v>
      </c>
      <c r="O10" s="166">
        <f t="shared" si="6"/>
        <v>0.02</v>
      </c>
      <c r="P10" s="164">
        <v>117</v>
      </c>
      <c r="Q10" s="164">
        <f t="shared" si="7"/>
        <v>6.363636363636363E-2</v>
      </c>
      <c r="R10" s="164">
        <f t="shared" si="8"/>
        <v>2.2567425442590321E-2</v>
      </c>
      <c r="S10" s="165">
        <f t="shared" si="9"/>
        <v>2.2999999999999998</v>
      </c>
    </row>
    <row r="11" spans="1:19" ht="12" customHeight="1">
      <c r="A11" s="195"/>
      <c r="B11" s="195" t="s">
        <v>161</v>
      </c>
      <c r="C11" s="197" t="s">
        <v>163</v>
      </c>
      <c r="D11" s="160" t="s">
        <v>99</v>
      </c>
      <c r="E11" s="161" t="str">
        <f t="shared" si="0"/>
        <v>4.5 (1.9)</v>
      </c>
      <c r="F11" s="162" t="str">
        <f t="shared" si="1"/>
        <v>0 (0.02)</v>
      </c>
      <c r="G11" s="160" t="str">
        <f t="shared" si="2"/>
        <v>Poor</v>
      </c>
      <c r="H11" s="160">
        <f t="shared" si="3"/>
        <v>47</v>
      </c>
      <c r="I11" s="163"/>
      <c r="J11" s="164">
        <f>calculating_kappa_errors!D11</f>
        <v>4.5454545454545456E-2</v>
      </c>
      <c r="K11" s="165">
        <f t="shared" si="4"/>
        <v>4.5</v>
      </c>
      <c r="L11" s="164">
        <f>calculating_kappa_errors!K11</f>
        <v>-2.6912058338397402E-3</v>
      </c>
      <c r="M11" s="166">
        <f t="shared" si="5"/>
        <v>0</v>
      </c>
      <c r="N11" s="167">
        <f>calculating_kappa_errors!J11</f>
        <v>2.0862253391262985E-2</v>
      </c>
      <c r="O11" s="166">
        <f t="shared" si="6"/>
        <v>0.02</v>
      </c>
      <c r="P11" s="164">
        <v>118</v>
      </c>
      <c r="Q11" s="164">
        <f t="shared" si="7"/>
        <v>4.5454545454545456E-2</v>
      </c>
      <c r="R11" s="164">
        <f t="shared" si="8"/>
        <v>1.9175467588064165E-2</v>
      </c>
      <c r="S11" s="165">
        <f t="shared" si="9"/>
        <v>1.9</v>
      </c>
    </row>
    <row r="12" spans="1:19" ht="12" customHeight="1">
      <c r="A12" s="195"/>
      <c r="B12" s="195"/>
      <c r="C12" s="197"/>
      <c r="D12" s="160" t="s">
        <v>100</v>
      </c>
      <c r="E12" s="161" t="str">
        <f t="shared" si="0"/>
        <v>6.4 (2.2)</v>
      </c>
      <c r="F12" s="162" t="str">
        <f t="shared" si="1"/>
        <v>0.02 (0.02)</v>
      </c>
      <c r="G12" s="160" t="str">
        <f t="shared" si="2"/>
        <v>Poor</v>
      </c>
      <c r="H12" s="160">
        <f t="shared" si="3"/>
        <v>39</v>
      </c>
      <c r="I12" s="163"/>
      <c r="J12" s="164">
        <f>calculating_kappa_errors!D12</f>
        <v>6.363636363636363E-2</v>
      </c>
      <c r="K12" s="165">
        <f t="shared" si="4"/>
        <v>6.4</v>
      </c>
      <c r="L12" s="164">
        <f>calculating_kappa_errors!K12</f>
        <v>1.7005032101336106E-2</v>
      </c>
      <c r="M12" s="166">
        <f t="shared" si="5"/>
        <v>0.02</v>
      </c>
      <c r="N12" s="167">
        <f>calculating_kappa_errors!J12</f>
        <v>2.4433481846907652E-2</v>
      </c>
      <c r="O12" s="166">
        <f t="shared" si="6"/>
        <v>0.02</v>
      </c>
      <c r="P12" s="164">
        <v>119</v>
      </c>
      <c r="Q12" s="164">
        <f t="shared" si="7"/>
        <v>6.363636363636363E-2</v>
      </c>
      <c r="R12" s="164">
        <f t="shared" si="8"/>
        <v>2.2376979628778264E-2</v>
      </c>
      <c r="S12" s="165">
        <f t="shared" si="9"/>
        <v>2.1999999999999997</v>
      </c>
    </row>
    <row r="13" spans="1:19" ht="12" customHeight="1">
      <c r="A13" s="195"/>
      <c r="B13" s="195"/>
      <c r="C13" s="197"/>
      <c r="D13" s="160" t="s">
        <v>159</v>
      </c>
      <c r="E13" s="161" t="str">
        <f t="shared" si="0"/>
        <v>5.5 (2.1)</v>
      </c>
      <c r="F13" s="162" t="str">
        <f t="shared" si="1"/>
        <v>0 (0.02)</v>
      </c>
      <c r="G13" s="160" t="str">
        <f t="shared" si="2"/>
        <v>Poor</v>
      </c>
      <c r="H13" s="160">
        <f t="shared" si="3"/>
        <v>44</v>
      </c>
      <c r="I13" s="163"/>
      <c r="J13" s="164">
        <f>calculating_kappa_errors!D13</f>
        <v>5.4545454545454543E-2</v>
      </c>
      <c r="K13" s="165">
        <f t="shared" si="4"/>
        <v>5.5</v>
      </c>
      <c r="L13" s="164">
        <f>calculating_kappa_errors!K13</f>
        <v>-2.2779043280182266E-3</v>
      </c>
      <c r="M13" s="166">
        <f t="shared" si="5"/>
        <v>0</v>
      </c>
      <c r="N13" s="167">
        <f>calculating_kappa_errors!J13</f>
        <v>2.2953597888645965E-2</v>
      </c>
      <c r="O13" s="166">
        <f t="shared" si="6"/>
        <v>0.02</v>
      </c>
      <c r="P13" s="164">
        <v>120</v>
      </c>
      <c r="Q13" s="164">
        <f t="shared" si="7"/>
        <v>5.4545454545454543E-2</v>
      </c>
      <c r="R13" s="164">
        <f t="shared" si="8"/>
        <v>2.0730462274529782E-2</v>
      </c>
      <c r="S13" s="165">
        <f t="shared" si="9"/>
        <v>2.1</v>
      </c>
    </row>
    <row r="14" spans="1:19" ht="12" customHeight="1">
      <c r="A14" s="195"/>
      <c r="B14" s="195"/>
      <c r="C14" s="197"/>
      <c r="D14" s="160" t="s">
        <v>160</v>
      </c>
      <c r="E14" s="161" t="str">
        <f t="shared" si="0"/>
        <v>6.4 (2.2)</v>
      </c>
      <c r="F14" s="162" t="str">
        <f t="shared" si="1"/>
        <v>0.01 (0.02)</v>
      </c>
      <c r="G14" s="160" t="str">
        <f t="shared" si="2"/>
        <v>Poor</v>
      </c>
      <c r="H14" s="160">
        <f t="shared" si="3"/>
        <v>39</v>
      </c>
      <c r="I14" s="163"/>
      <c r="J14" s="164">
        <f>calculating_kappa_errors!D14</f>
        <v>6.363636363636363E-2</v>
      </c>
      <c r="K14" s="165">
        <f t="shared" si="4"/>
        <v>6.4</v>
      </c>
      <c r="L14" s="164">
        <f>calculating_kappa_errors!K14</f>
        <v>5.5297112261915114E-3</v>
      </c>
      <c r="M14" s="166">
        <f t="shared" si="5"/>
        <v>0.01</v>
      </c>
      <c r="N14" s="167">
        <f>calculating_kappa_errors!J14</f>
        <v>2.4718714277842321E-2</v>
      </c>
      <c r="O14" s="166">
        <f t="shared" si="6"/>
        <v>0.02</v>
      </c>
      <c r="P14" s="164">
        <v>121</v>
      </c>
      <c r="Q14" s="164">
        <f t="shared" si="7"/>
        <v>6.363636363636363E-2</v>
      </c>
      <c r="R14" s="164">
        <f t="shared" si="8"/>
        <v>2.2191275342310003E-2</v>
      </c>
      <c r="S14" s="165">
        <f t="shared" si="9"/>
        <v>2.1999999999999997</v>
      </c>
    </row>
    <row r="15" spans="1:19" ht="12" customHeight="1">
      <c r="A15" s="195" t="s">
        <v>105</v>
      </c>
      <c r="B15" s="195" t="s">
        <v>98</v>
      </c>
      <c r="C15" s="197" t="s">
        <v>158</v>
      </c>
      <c r="D15" s="160" t="s">
        <v>99</v>
      </c>
      <c r="E15" s="161" t="str">
        <f t="shared" si="0"/>
        <v>93.8 (2.2)</v>
      </c>
      <c r="F15" s="162" t="str">
        <f t="shared" si="1"/>
        <v>0.88 (0.08)</v>
      </c>
      <c r="G15" s="160" t="str">
        <f>IF(L15&lt;0.4,"Poor",IF(L15&gt;0.8,"Strong","Moderate"))</f>
        <v>Strong</v>
      </c>
      <c r="H15" s="160">
        <f t="shared" si="3"/>
        <v>3</v>
      </c>
      <c r="I15" s="163"/>
      <c r="J15" s="164">
        <f>calculating_kappa_errors!D15</f>
        <v>0.9375</v>
      </c>
      <c r="K15" s="165">
        <f t="shared" si="4"/>
        <v>93.8</v>
      </c>
      <c r="L15" s="164">
        <f>calculating_kappa_errors!K15</f>
        <v>0.87596899224806202</v>
      </c>
      <c r="M15" s="166">
        <f t="shared" si="5"/>
        <v>0.88</v>
      </c>
      <c r="N15" s="167">
        <f>calculating_kappa_errors!J15</f>
        <v>8.491822596979319E-2</v>
      </c>
      <c r="O15" s="166">
        <f t="shared" si="6"/>
        <v>0.08</v>
      </c>
      <c r="P15" s="164">
        <v>122</v>
      </c>
      <c r="Q15" s="164">
        <f t="shared" si="7"/>
        <v>0.9375</v>
      </c>
      <c r="R15" s="164">
        <f t="shared" si="8"/>
        <v>2.1915214791196146E-2</v>
      </c>
      <c r="S15" s="165">
        <f t="shared" si="9"/>
        <v>2.1999999999999997</v>
      </c>
    </row>
    <row r="16" spans="1:19" ht="12" customHeight="1">
      <c r="A16" s="195"/>
      <c r="B16" s="195"/>
      <c r="C16" s="197"/>
      <c r="D16" s="160" t="s">
        <v>100</v>
      </c>
      <c r="E16" s="161" t="str">
        <f t="shared" si="0"/>
        <v>81.3 (3.5)</v>
      </c>
      <c r="F16" s="162" t="str">
        <f t="shared" si="1"/>
        <v>0.64 (0.13)</v>
      </c>
      <c r="G16" s="160" t="str">
        <f>IF(L16&lt;0.4,"Poor",IF(L16&gt;0.8,"Strong","Moderate"))</f>
        <v>Moderate</v>
      </c>
      <c r="H16" s="160">
        <f t="shared" si="3"/>
        <v>6</v>
      </c>
      <c r="I16" s="163"/>
      <c r="J16" s="164">
        <f>calculating_kappa_errors!D16</f>
        <v>0.8125</v>
      </c>
      <c r="K16" s="165">
        <f t="shared" si="4"/>
        <v>81.3</v>
      </c>
      <c r="L16" s="164">
        <f>calculating_kappa_errors!K16</f>
        <v>0.63773584905660374</v>
      </c>
      <c r="M16" s="166">
        <f t="shared" si="5"/>
        <v>0.64</v>
      </c>
      <c r="N16" s="167">
        <f>calculating_kappa_errors!J16</f>
        <v>0.1333095979823071</v>
      </c>
      <c r="O16" s="166">
        <f t="shared" si="6"/>
        <v>0.13</v>
      </c>
      <c r="P16" s="164">
        <v>123</v>
      </c>
      <c r="Q16" s="164">
        <f t="shared" si="7"/>
        <v>0.8125</v>
      </c>
      <c r="R16" s="164">
        <f t="shared" si="8"/>
        <v>3.5193281648217063E-2</v>
      </c>
      <c r="S16" s="165">
        <f t="shared" si="9"/>
        <v>3.5000000000000004</v>
      </c>
    </row>
    <row r="17" spans="1:19" ht="12" customHeight="1">
      <c r="A17" s="195"/>
      <c r="B17" s="195"/>
      <c r="C17" s="197"/>
      <c r="D17" s="160" t="s">
        <v>159</v>
      </c>
      <c r="E17" s="161" t="str">
        <f t="shared" si="0"/>
        <v>81.3 (3.5)</v>
      </c>
      <c r="F17" s="162" t="str">
        <f t="shared" si="1"/>
        <v>0.54 (0.17)</v>
      </c>
      <c r="G17" s="160" t="str">
        <f t="shared" ref="G17" si="10">IF(L17&lt;0.4,"Poor",IF(L17&gt;0.8,"Strong","Moderate"))</f>
        <v>Moderate</v>
      </c>
      <c r="H17" s="160">
        <f t="shared" si="3"/>
        <v>6</v>
      </c>
      <c r="I17" s="163"/>
      <c r="J17" s="164">
        <f>calculating_kappa_errors!D17</f>
        <v>0.8125</v>
      </c>
      <c r="K17" s="165">
        <f t="shared" si="4"/>
        <v>81.3</v>
      </c>
      <c r="L17" s="164">
        <f>calculating_kappa_errors!K17</f>
        <v>0.53846153846153844</v>
      </c>
      <c r="M17" s="166">
        <f t="shared" si="5"/>
        <v>0.54</v>
      </c>
      <c r="N17" s="167">
        <f>calculating_kappa_errors!J17</f>
        <v>0.16984155512168936</v>
      </c>
      <c r="O17" s="166">
        <f t="shared" si="6"/>
        <v>0.17</v>
      </c>
      <c r="P17" s="164">
        <v>124</v>
      </c>
      <c r="Q17" s="164">
        <f t="shared" si="7"/>
        <v>0.8125</v>
      </c>
      <c r="R17" s="164">
        <f t="shared" si="8"/>
        <v>3.5051085989342159E-2</v>
      </c>
      <c r="S17" s="165">
        <f t="shared" si="9"/>
        <v>3.5000000000000004</v>
      </c>
    </row>
    <row r="18" spans="1:19" ht="12" customHeight="1">
      <c r="A18" s="195"/>
      <c r="B18" s="195"/>
      <c r="C18" s="197"/>
      <c r="D18" s="160" t="s">
        <v>160</v>
      </c>
      <c r="E18" s="161" t="str">
        <f t="shared" si="0"/>
        <v>81.3 (3.5)</v>
      </c>
      <c r="F18" s="162" t="str">
        <f t="shared" si="1"/>
        <v>0.54 (0.17)</v>
      </c>
      <c r="G18" s="160" t="str">
        <f>IF(L18&lt;0.4,"Poor",IF(L18&gt;0.8,"Strong","Moderate"))</f>
        <v>Moderate</v>
      </c>
      <c r="H18" s="160">
        <f t="shared" si="3"/>
        <v>6</v>
      </c>
      <c r="I18" s="163"/>
      <c r="J18" s="164">
        <f>calculating_kappa_errors!D18</f>
        <v>0.8125</v>
      </c>
      <c r="K18" s="165">
        <f t="shared" si="4"/>
        <v>81.3</v>
      </c>
      <c r="L18" s="164">
        <f>calculating_kappa_errors!K18</f>
        <v>0.53846153846153844</v>
      </c>
      <c r="M18" s="166">
        <f t="shared" si="5"/>
        <v>0.54</v>
      </c>
      <c r="N18" s="167">
        <f>calculating_kappa_errors!J18</f>
        <v>0.16984155512168936</v>
      </c>
      <c r="O18" s="166">
        <f t="shared" si="6"/>
        <v>0.17</v>
      </c>
      <c r="P18" s="164">
        <v>125</v>
      </c>
      <c r="Q18" s="164">
        <f t="shared" si="7"/>
        <v>0.8125</v>
      </c>
      <c r="R18" s="164">
        <f t="shared" si="8"/>
        <v>3.4910600109422353E-2</v>
      </c>
      <c r="S18" s="165">
        <f t="shared" si="9"/>
        <v>3.5000000000000004</v>
      </c>
    </row>
    <row r="19" spans="1:19" ht="12" customHeight="1">
      <c r="A19" s="195"/>
      <c r="B19" s="195" t="s">
        <v>161</v>
      </c>
      <c r="C19" s="197" t="s">
        <v>162</v>
      </c>
      <c r="D19" s="160" t="s">
        <v>99</v>
      </c>
      <c r="E19" s="161" t="str">
        <f t="shared" si="0"/>
        <v>18.8 (3.5)</v>
      </c>
      <c r="F19" s="162" t="str">
        <f t="shared" si="1"/>
        <v>0.08 (0.08)</v>
      </c>
      <c r="G19" s="160" t="str">
        <f>IF(L19&lt;0.4,"Poor",IF(L19&gt;0.8,"Strong","Moderate"))</f>
        <v>Poor</v>
      </c>
      <c r="H19" s="160">
        <f t="shared" si="3"/>
        <v>32</v>
      </c>
      <c r="I19" s="163"/>
      <c r="J19" s="164">
        <f>calculating_kappa_errors!D19</f>
        <v>0.1875</v>
      </c>
      <c r="K19" s="165">
        <f t="shared" si="4"/>
        <v>18.8</v>
      </c>
      <c r="L19" s="164">
        <f>calculating_kappa_errors!K19</f>
        <v>7.7605321507760533E-2</v>
      </c>
      <c r="M19" s="166">
        <f t="shared" si="5"/>
        <v>0.08</v>
      </c>
      <c r="N19" s="167">
        <f>calculating_kappa_errors!J19</f>
        <v>7.8330473315546309E-2</v>
      </c>
      <c r="O19" s="166">
        <f t="shared" si="6"/>
        <v>0.08</v>
      </c>
      <c r="P19" s="164">
        <v>126</v>
      </c>
      <c r="Q19" s="164">
        <f t="shared" si="7"/>
        <v>0.1875</v>
      </c>
      <c r="R19" s="164">
        <f t="shared" si="8"/>
        <v>3.4771790016511678E-2</v>
      </c>
      <c r="S19" s="165">
        <f t="shared" si="9"/>
        <v>3.5000000000000004</v>
      </c>
    </row>
    <row r="20" spans="1:19" ht="12" customHeight="1">
      <c r="A20" s="195"/>
      <c r="B20" s="195"/>
      <c r="C20" s="197"/>
      <c r="D20" s="160" t="s">
        <v>100</v>
      </c>
      <c r="E20" s="161" t="str">
        <f t="shared" si="0"/>
        <v>9.4 (2.6)</v>
      </c>
      <c r="F20" s="162" t="str">
        <f t="shared" si="1"/>
        <v>-0.04 (0.06)</v>
      </c>
      <c r="G20" s="160" t="str">
        <f t="shared" ref="G20:G26" si="11">IF(L20&lt;0.4,"Poor",IF(L20&gt;0.8,"Strong","Moderate"))</f>
        <v>Poor</v>
      </c>
      <c r="H20" s="160">
        <f t="shared" si="3"/>
        <v>38</v>
      </c>
      <c r="I20" s="163"/>
      <c r="J20" s="164">
        <f>calculating_kappa_errors!D20</f>
        <v>9.375E-2</v>
      </c>
      <c r="K20" s="165">
        <f t="shared" si="4"/>
        <v>9.4</v>
      </c>
      <c r="L20" s="164">
        <f>calculating_kappa_errors!K20</f>
        <v>-3.5714285714285712E-2</v>
      </c>
      <c r="M20" s="166">
        <f t="shared" si="5"/>
        <v>-0.04</v>
      </c>
      <c r="N20" s="167">
        <f>calculating_kappa_errors!J20</f>
        <v>5.8887973028004102E-2</v>
      </c>
      <c r="O20" s="166">
        <f t="shared" si="6"/>
        <v>0.06</v>
      </c>
      <c r="P20" s="164">
        <v>127</v>
      </c>
      <c r="Q20" s="164">
        <f t="shared" si="7"/>
        <v>9.375E-2</v>
      </c>
      <c r="R20" s="164">
        <f t="shared" si="8"/>
        <v>2.5864720370468337E-2</v>
      </c>
      <c r="S20" s="165">
        <f t="shared" si="9"/>
        <v>2.6</v>
      </c>
    </row>
    <row r="21" spans="1:19" ht="12" customHeight="1">
      <c r="A21" s="195"/>
      <c r="B21" s="195"/>
      <c r="C21" s="197"/>
      <c r="D21" s="160" t="s">
        <v>159</v>
      </c>
      <c r="E21" s="161" t="str">
        <f t="shared" si="0"/>
        <v>12.5 (2.9)</v>
      </c>
      <c r="F21" s="162" t="str">
        <f t="shared" si="1"/>
        <v>0.01 (0.07)</v>
      </c>
      <c r="G21" s="160" t="str">
        <f t="shared" si="11"/>
        <v>Poor</v>
      </c>
      <c r="H21" s="160">
        <f t="shared" si="3"/>
        <v>35</v>
      </c>
      <c r="I21" s="163"/>
      <c r="J21" s="164">
        <f>calculating_kappa_errors!D21</f>
        <v>0.125</v>
      </c>
      <c r="K21" s="165">
        <f t="shared" si="4"/>
        <v>12.5</v>
      </c>
      <c r="L21" s="164">
        <f>calculating_kappa_errors!K21</f>
        <v>8.8495575221238937E-3</v>
      </c>
      <c r="M21" s="166">
        <f t="shared" si="5"/>
        <v>0.01</v>
      </c>
      <c r="N21" s="167">
        <f>calculating_kappa_errors!J21</f>
        <v>6.6224024544671523E-2</v>
      </c>
      <c r="O21" s="166">
        <f t="shared" si="6"/>
        <v>7.0000000000000007E-2</v>
      </c>
      <c r="P21" s="164">
        <v>128</v>
      </c>
      <c r="Q21" s="164">
        <f t="shared" si="7"/>
        <v>0.125</v>
      </c>
      <c r="R21" s="164">
        <f t="shared" si="8"/>
        <v>2.9231698334171417E-2</v>
      </c>
      <c r="S21" s="165">
        <f t="shared" si="9"/>
        <v>2.9000000000000004</v>
      </c>
    </row>
    <row r="22" spans="1:19" ht="12" customHeight="1">
      <c r="A22" s="195"/>
      <c r="B22" s="195"/>
      <c r="C22" s="197"/>
      <c r="D22" s="160" t="s">
        <v>160</v>
      </c>
      <c r="E22" s="161" t="str">
        <f t="shared" si="0"/>
        <v>40.6 (4.3)</v>
      </c>
      <c r="F22" s="162" t="str">
        <f t="shared" si="1"/>
        <v>0.24 (0.11)</v>
      </c>
      <c r="G22" s="160" t="str">
        <f t="shared" si="11"/>
        <v>Poor</v>
      </c>
      <c r="H22" s="160">
        <f t="shared" si="3"/>
        <v>26</v>
      </c>
      <c r="I22" s="163"/>
      <c r="J22" s="164">
        <f>calculating_kappa_errors!D22</f>
        <v>0.40625</v>
      </c>
      <c r="K22" s="165">
        <f t="shared" si="4"/>
        <v>40.6</v>
      </c>
      <c r="L22" s="164">
        <f>calculating_kappa_errors!K22</f>
        <v>0.24189526184538654</v>
      </c>
      <c r="M22" s="166">
        <f t="shared" si="5"/>
        <v>0.24</v>
      </c>
      <c r="N22" s="167">
        <f>calculating_kappa_errors!J22</f>
        <v>0.11085342030370507</v>
      </c>
      <c r="O22" s="166">
        <f t="shared" si="6"/>
        <v>0.11</v>
      </c>
      <c r="P22" s="164">
        <v>129</v>
      </c>
      <c r="Q22" s="164">
        <f t="shared" si="7"/>
        <v>0.40625</v>
      </c>
      <c r="R22" s="164">
        <f t="shared" si="8"/>
        <v>4.3241787991272637E-2</v>
      </c>
      <c r="S22" s="165">
        <f t="shared" si="9"/>
        <v>4.3</v>
      </c>
    </row>
    <row r="23" spans="1:19" ht="12" customHeight="1">
      <c r="A23" s="195"/>
      <c r="B23" s="195" t="s">
        <v>161</v>
      </c>
      <c r="C23" s="197" t="s">
        <v>163</v>
      </c>
      <c r="D23" s="160" t="s">
        <v>99</v>
      </c>
      <c r="E23" s="161" t="str">
        <f t="shared" si="0"/>
        <v>15.6 (3.2)</v>
      </c>
      <c r="F23" s="162" t="str">
        <f t="shared" si="1"/>
        <v>0.06 (0.07)</v>
      </c>
      <c r="G23" s="160" t="str">
        <f t="shared" si="11"/>
        <v>Poor</v>
      </c>
      <c r="H23" s="160">
        <f t="shared" si="3"/>
        <v>33</v>
      </c>
      <c r="I23" s="163"/>
      <c r="J23" s="164">
        <f>calculating_kappa_errors!D23</f>
        <v>0.15625</v>
      </c>
      <c r="K23" s="165">
        <f t="shared" si="4"/>
        <v>15.6</v>
      </c>
      <c r="L23" s="164">
        <f>calculating_kappa_errors!K23</f>
        <v>5.6768558951965066E-2</v>
      </c>
      <c r="M23" s="166">
        <f t="shared" si="5"/>
        <v>0.06</v>
      </c>
      <c r="N23" s="167">
        <f>calculating_kappa_errors!J23</f>
        <v>7.175404683473792E-2</v>
      </c>
      <c r="O23" s="166">
        <f t="shared" si="6"/>
        <v>7.0000000000000007E-2</v>
      </c>
      <c r="P23" s="164">
        <v>130</v>
      </c>
      <c r="Q23" s="164">
        <f t="shared" si="7"/>
        <v>0.15625</v>
      </c>
      <c r="R23" s="164">
        <f t="shared" si="8"/>
        <v>3.1845291585316758E-2</v>
      </c>
      <c r="S23" s="165">
        <f t="shared" si="9"/>
        <v>3.2</v>
      </c>
    </row>
    <row r="24" spans="1:19" ht="12" customHeight="1">
      <c r="A24" s="195"/>
      <c r="B24" s="195"/>
      <c r="C24" s="197"/>
      <c r="D24" s="160" t="s">
        <v>100</v>
      </c>
      <c r="E24" s="161" t="str">
        <f t="shared" si="0"/>
        <v>12.5 (2.9)</v>
      </c>
      <c r="F24" s="162" t="str">
        <f t="shared" si="1"/>
        <v>0.03 (0.07)</v>
      </c>
      <c r="G24" s="160" t="str">
        <f t="shared" si="11"/>
        <v>Poor</v>
      </c>
      <c r="H24" s="160">
        <f t="shared" si="3"/>
        <v>35</v>
      </c>
      <c r="I24" s="163"/>
      <c r="J24" s="164">
        <f>calculating_kappa_errors!D24</f>
        <v>0.125</v>
      </c>
      <c r="K24" s="165">
        <f t="shared" si="4"/>
        <v>12.5</v>
      </c>
      <c r="L24" s="164">
        <f>calculating_kappa_errors!K24</f>
        <v>2.6086956521739129E-2</v>
      </c>
      <c r="M24" s="166">
        <f t="shared" si="5"/>
        <v>0.03</v>
      </c>
      <c r="N24" s="167">
        <f>calculating_kappa_errors!J24</f>
        <v>6.5072302378677227E-2</v>
      </c>
      <c r="O24" s="166">
        <f t="shared" si="6"/>
        <v>7.0000000000000007E-2</v>
      </c>
      <c r="P24" s="164">
        <v>131</v>
      </c>
      <c r="Q24" s="164">
        <f t="shared" si="7"/>
        <v>0.125</v>
      </c>
      <c r="R24" s="164">
        <f t="shared" si="8"/>
        <v>2.8895045667417407E-2</v>
      </c>
      <c r="S24" s="165">
        <f t="shared" si="9"/>
        <v>2.9000000000000004</v>
      </c>
    </row>
    <row r="25" spans="1:19" ht="12" customHeight="1">
      <c r="A25" s="195"/>
      <c r="B25" s="195"/>
      <c r="C25" s="197"/>
      <c r="D25" s="160" t="s">
        <v>159</v>
      </c>
      <c r="E25" s="161" t="str">
        <f t="shared" si="0"/>
        <v>15.6 (3.2)</v>
      </c>
      <c r="F25" s="162" t="str">
        <f t="shared" si="1"/>
        <v>0.06 (0.07)</v>
      </c>
      <c r="G25" s="160" t="str">
        <f t="shared" si="11"/>
        <v>Poor</v>
      </c>
      <c r="H25" s="160">
        <f>RANK(K25,K$3:K$50)</f>
        <v>33</v>
      </c>
      <c r="I25" s="163"/>
      <c r="J25" s="164">
        <f>calculating_kappa_errors!D25</f>
        <v>0.15625</v>
      </c>
      <c r="K25" s="165">
        <f t="shared" si="4"/>
        <v>15.6</v>
      </c>
      <c r="L25" s="164">
        <f>calculating_kappa_errors!K25</f>
        <v>6.0869565217391307E-2</v>
      </c>
      <c r="M25" s="166">
        <f t="shared" si="5"/>
        <v>0.06</v>
      </c>
      <c r="N25" s="167">
        <f>calculating_kappa_errors!J25</f>
        <v>7.1442072718065144E-2</v>
      </c>
      <c r="O25" s="166">
        <f t="shared" si="6"/>
        <v>7.0000000000000007E-2</v>
      </c>
      <c r="P25" s="164">
        <v>132</v>
      </c>
      <c r="Q25" s="164">
        <f t="shared" si="7"/>
        <v>0.15625</v>
      </c>
      <c r="R25" s="164">
        <f t="shared" si="8"/>
        <v>3.1603118552964472E-2</v>
      </c>
      <c r="S25" s="165">
        <f t="shared" si="9"/>
        <v>3.2</v>
      </c>
    </row>
    <row r="26" spans="1:19" ht="12" customHeight="1">
      <c r="A26" s="195"/>
      <c r="B26" s="195"/>
      <c r="C26" s="197"/>
      <c r="D26" s="160" t="s">
        <v>160</v>
      </c>
      <c r="E26" s="161" t="str">
        <f t="shared" si="0"/>
        <v>12.5 (2.9)</v>
      </c>
      <c r="F26" s="162" t="str">
        <f t="shared" si="1"/>
        <v>0.04 (0.06)</v>
      </c>
      <c r="G26" s="160" t="str">
        <f t="shared" si="11"/>
        <v>Poor</v>
      </c>
      <c r="H26" s="160">
        <f t="shared" si="3"/>
        <v>35</v>
      </c>
      <c r="I26" s="163"/>
      <c r="J26" s="164">
        <f>calculating_kappa_errors!D26</f>
        <v>0.125</v>
      </c>
      <c r="K26" s="165">
        <f t="shared" si="4"/>
        <v>12.5</v>
      </c>
      <c r="L26" s="164">
        <f>calculating_kappa_errors!K26</f>
        <v>4.4776119402985072E-2</v>
      </c>
      <c r="M26" s="166">
        <f t="shared" si="5"/>
        <v>0.04</v>
      </c>
      <c r="N26" s="167">
        <f>calculating_kappa_errors!J26</f>
        <v>6.3823580158190896E-2</v>
      </c>
      <c r="O26" s="166">
        <f t="shared" si="6"/>
        <v>0.06</v>
      </c>
      <c r="P26" s="164">
        <v>133</v>
      </c>
      <c r="Q26" s="164">
        <f t="shared" si="7"/>
        <v>0.125</v>
      </c>
      <c r="R26" s="164">
        <f t="shared" si="8"/>
        <v>2.8676966733820222E-2</v>
      </c>
      <c r="S26" s="165">
        <f t="shared" si="9"/>
        <v>2.9000000000000004</v>
      </c>
    </row>
    <row r="27" spans="1:19" ht="12" customHeight="1">
      <c r="A27" s="195" t="s">
        <v>106</v>
      </c>
      <c r="B27" s="195" t="s">
        <v>98</v>
      </c>
      <c r="C27" s="197" t="s">
        <v>158</v>
      </c>
      <c r="D27" s="160" t="s">
        <v>99</v>
      </c>
      <c r="E27" s="161" t="str">
        <f t="shared" si="0"/>
        <v>61.6 (4.2)</v>
      </c>
      <c r="F27" s="162" t="str">
        <f t="shared" si="1"/>
        <v>0.48 (0.07)</v>
      </c>
      <c r="G27" s="160" t="str">
        <f>IF(L27&lt;0.4,"Poor",IF(L27&gt;0.8,"Strong","Moderate"))</f>
        <v>Moderate</v>
      </c>
      <c r="H27" s="160">
        <f t="shared" si="3"/>
        <v>19</v>
      </c>
      <c r="I27" s="163"/>
      <c r="J27" s="164">
        <f>calculating_kappa_errors!D27</f>
        <v>0.61616161616161613</v>
      </c>
      <c r="K27" s="165">
        <f t="shared" si="4"/>
        <v>61.6</v>
      </c>
      <c r="L27" s="164">
        <f>calculating_kappa_errors!K27</f>
        <v>0.48045850020715364</v>
      </c>
      <c r="M27" s="166">
        <f t="shared" si="5"/>
        <v>0.48</v>
      </c>
      <c r="N27" s="167">
        <f>calculating_kappa_errors!J27</f>
        <v>6.6156994280213377E-2</v>
      </c>
      <c r="O27" s="166">
        <f t="shared" si="6"/>
        <v>7.0000000000000007E-2</v>
      </c>
      <c r="P27" s="164">
        <v>134</v>
      </c>
      <c r="Q27" s="164">
        <f t="shared" si="7"/>
        <v>0.61616161616161613</v>
      </c>
      <c r="R27" s="164">
        <f t="shared" si="8"/>
        <v>4.2011590345565258E-2</v>
      </c>
      <c r="S27" s="165">
        <f t="shared" si="9"/>
        <v>4.2</v>
      </c>
    </row>
    <row r="28" spans="1:19" ht="12" customHeight="1">
      <c r="A28" s="195"/>
      <c r="B28" s="195"/>
      <c r="C28" s="197"/>
      <c r="D28" s="160" t="s">
        <v>100</v>
      </c>
      <c r="E28" s="161" t="str">
        <f t="shared" si="0"/>
        <v>52.5 (4.3)</v>
      </c>
      <c r="F28" s="162" t="str">
        <f t="shared" si="1"/>
        <v>0.36 (0.07)</v>
      </c>
      <c r="G28" s="160" t="str">
        <f>IF(L28&lt;0.4,"Poor",IF(L28&gt;0.8,"Strong","Moderate"))</f>
        <v>Poor</v>
      </c>
      <c r="H28" s="160">
        <f t="shared" si="3"/>
        <v>24</v>
      </c>
      <c r="I28" s="163"/>
      <c r="J28" s="164">
        <f>calculating_kappa_errors!D28</f>
        <v>0.5252525252525253</v>
      </c>
      <c r="K28" s="165">
        <f t="shared" si="4"/>
        <v>52.5</v>
      </c>
      <c r="L28" s="164">
        <f>calculating_kappa_errors!K28</f>
        <v>0.35749792874896441</v>
      </c>
      <c r="M28" s="166">
        <f t="shared" si="5"/>
        <v>0.36</v>
      </c>
      <c r="N28" s="167">
        <f>calculating_kappa_errors!J28</f>
        <v>6.7921876782301827E-2</v>
      </c>
      <c r="O28" s="166">
        <f t="shared" si="6"/>
        <v>7.0000000000000007E-2</v>
      </c>
      <c r="P28" s="164">
        <v>135</v>
      </c>
      <c r="Q28" s="164">
        <f t="shared" si="7"/>
        <v>0.5252525252525253</v>
      </c>
      <c r="R28" s="164">
        <f t="shared" si="8"/>
        <v>4.2978229628358705E-2</v>
      </c>
      <c r="S28" s="165">
        <f t="shared" si="9"/>
        <v>4.3</v>
      </c>
    </row>
    <row r="29" spans="1:19" ht="12" customHeight="1">
      <c r="A29" s="195"/>
      <c r="B29" s="195"/>
      <c r="C29" s="197"/>
      <c r="D29" s="160" t="s">
        <v>159</v>
      </c>
      <c r="E29" s="161" t="str">
        <f t="shared" si="0"/>
        <v>34.3 (4.1)</v>
      </c>
      <c r="F29" s="162" t="str">
        <f t="shared" si="1"/>
        <v>0.15 (0.06)</v>
      </c>
      <c r="G29" s="160" t="str">
        <f t="shared" ref="G29:G30" si="12">IF(L29&lt;0.4,"Poor",IF(L29&gt;0.8,"Strong","Moderate"))</f>
        <v>Poor</v>
      </c>
      <c r="H29" s="160">
        <f t="shared" si="3"/>
        <v>27</v>
      </c>
      <c r="I29" s="163"/>
      <c r="J29" s="164">
        <f>calculating_kappa_errors!D29</f>
        <v>0.34343434343434343</v>
      </c>
      <c r="K29" s="165">
        <f t="shared" si="4"/>
        <v>34.300000000000004</v>
      </c>
      <c r="L29" s="164">
        <f>calculating_kappa_errors!K29</f>
        <v>0.15027069853426647</v>
      </c>
      <c r="M29" s="166">
        <f t="shared" si="5"/>
        <v>0.15</v>
      </c>
      <c r="N29" s="167">
        <f>calculating_kappa_errors!J29</f>
        <v>6.1765473813654069E-2</v>
      </c>
      <c r="O29" s="166">
        <f t="shared" si="6"/>
        <v>0.06</v>
      </c>
      <c r="P29" s="164">
        <v>136</v>
      </c>
      <c r="Q29" s="164">
        <f t="shared" si="7"/>
        <v>0.34343434343434343</v>
      </c>
      <c r="R29" s="164">
        <f t="shared" si="8"/>
        <v>4.0718473476255304E-2</v>
      </c>
      <c r="S29" s="165">
        <f t="shared" si="9"/>
        <v>4.1000000000000005</v>
      </c>
    </row>
    <row r="30" spans="1:19" ht="12" customHeight="1">
      <c r="A30" s="195"/>
      <c r="B30" s="195"/>
      <c r="C30" s="197"/>
      <c r="D30" s="160" t="s">
        <v>160</v>
      </c>
      <c r="E30" s="161" t="str">
        <f t="shared" si="0"/>
        <v>22.2 (3.6)</v>
      </c>
      <c r="F30" s="162" t="str">
        <f t="shared" si="1"/>
        <v>0.02 (0.05)</v>
      </c>
      <c r="G30" s="160" t="str">
        <f t="shared" si="12"/>
        <v>Poor</v>
      </c>
      <c r="H30" s="160">
        <f t="shared" si="3"/>
        <v>30</v>
      </c>
      <c r="I30" s="163"/>
      <c r="J30" s="164">
        <f>calculating_kappa_errors!D30</f>
        <v>0.22222222222222221</v>
      </c>
      <c r="K30" s="165">
        <f t="shared" si="4"/>
        <v>22.2</v>
      </c>
      <c r="L30" s="164">
        <f>calculating_kappa_errors!K30</f>
        <v>1.5581302437075496E-2</v>
      </c>
      <c r="M30" s="166">
        <f t="shared" si="5"/>
        <v>0.02</v>
      </c>
      <c r="N30" s="167">
        <f>calculating_kappa_errors!J30</f>
        <v>5.288447951414401E-2</v>
      </c>
      <c r="O30" s="166">
        <f t="shared" si="6"/>
        <v>0.05</v>
      </c>
      <c r="P30" s="164">
        <v>137</v>
      </c>
      <c r="Q30" s="164">
        <f t="shared" si="7"/>
        <v>0.22222222222222221</v>
      </c>
      <c r="R30" s="164">
        <f t="shared" si="8"/>
        <v>3.5519040454920013E-2</v>
      </c>
      <c r="S30" s="165">
        <f t="shared" si="9"/>
        <v>3.5999999999999996</v>
      </c>
    </row>
    <row r="31" spans="1:19" ht="12" customHeight="1">
      <c r="A31" s="195"/>
      <c r="B31" s="195" t="s">
        <v>161</v>
      </c>
      <c r="C31" s="197" t="s">
        <v>162</v>
      </c>
      <c r="D31" s="160" t="s">
        <v>99</v>
      </c>
      <c r="E31" s="161" t="str">
        <f t="shared" si="0"/>
        <v>82.8 (3.2)</v>
      </c>
      <c r="F31" s="162" t="str">
        <f t="shared" si="1"/>
        <v>0.64 (0.08)</v>
      </c>
      <c r="G31" s="160" t="str">
        <f>IF(L31&lt;0.4,"Poor",IF(L31&gt;0.8,"Strong","Moderate"))</f>
        <v>Moderate</v>
      </c>
      <c r="H31" s="160">
        <f t="shared" si="3"/>
        <v>4</v>
      </c>
      <c r="I31" s="163"/>
      <c r="J31" s="164">
        <f>calculating_kappa_errors!D31</f>
        <v>0.82828282828282829</v>
      </c>
      <c r="K31" s="165">
        <f t="shared" si="4"/>
        <v>82.8</v>
      </c>
      <c r="L31" s="164">
        <f>calculating_kappa_errors!K31</f>
        <v>0.64099829351535842</v>
      </c>
      <c r="M31" s="166">
        <f t="shared" si="5"/>
        <v>0.64</v>
      </c>
      <c r="N31" s="167">
        <f>calculating_kappa_errors!J31</f>
        <v>7.9243086190462317E-2</v>
      </c>
      <c r="O31" s="166">
        <f t="shared" si="6"/>
        <v>0.08</v>
      </c>
      <c r="P31" s="164">
        <v>138</v>
      </c>
      <c r="Q31" s="164">
        <f t="shared" si="7"/>
        <v>0.82828282828282829</v>
      </c>
      <c r="R31" s="164">
        <f t="shared" si="8"/>
        <v>3.210381536928926E-2</v>
      </c>
      <c r="S31" s="165">
        <f t="shared" si="9"/>
        <v>3.2</v>
      </c>
    </row>
    <row r="32" spans="1:19" ht="12" customHeight="1">
      <c r="A32" s="195"/>
      <c r="B32" s="195"/>
      <c r="C32" s="197"/>
      <c r="D32" s="160" t="s">
        <v>100</v>
      </c>
      <c r="E32" s="161" t="str">
        <f t="shared" si="0"/>
        <v>77.8 (3.5)</v>
      </c>
      <c r="F32" s="162" t="str">
        <f t="shared" si="1"/>
        <v>0.53 (0.09)</v>
      </c>
      <c r="G32" s="160" t="str">
        <f t="shared" ref="G32:G33" si="13">IF(L32&lt;0.4,"Poor",IF(L32&gt;0.8,"Strong","Moderate"))</f>
        <v>Moderate</v>
      </c>
      <c r="H32" s="160">
        <f t="shared" si="3"/>
        <v>10</v>
      </c>
      <c r="I32" s="163"/>
      <c r="J32" s="164">
        <f>calculating_kappa_errors!D32</f>
        <v>0.77777777777777779</v>
      </c>
      <c r="K32" s="165">
        <f t="shared" si="4"/>
        <v>77.8</v>
      </c>
      <c r="L32" s="164">
        <f>calculating_kappa_errors!K32</f>
        <v>0.52610966057441255</v>
      </c>
      <c r="M32" s="166">
        <f t="shared" si="5"/>
        <v>0.53</v>
      </c>
      <c r="N32" s="167">
        <f>calculating_kappa_errors!J32</f>
        <v>8.9103400852414763E-2</v>
      </c>
      <c r="O32" s="166">
        <f t="shared" si="6"/>
        <v>0.09</v>
      </c>
      <c r="P32" s="164">
        <v>139</v>
      </c>
      <c r="Q32" s="164">
        <f t="shared" si="7"/>
        <v>0.77777777777777779</v>
      </c>
      <c r="R32" s="164">
        <f t="shared" si="8"/>
        <v>3.5262581934632733E-2</v>
      </c>
      <c r="S32" s="165">
        <f t="shared" si="9"/>
        <v>3.5000000000000004</v>
      </c>
    </row>
    <row r="33" spans="1:19" ht="12" customHeight="1">
      <c r="A33" s="195"/>
      <c r="B33" s="195"/>
      <c r="C33" s="197"/>
      <c r="D33" s="160" t="s">
        <v>159</v>
      </c>
      <c r="E33" s="161" t="str">
        <f t="shared" si="0"/>
        <v>76.8 (3.6)</v>
      </c>
      <c r="F33" s="162" t="str">
        <f t="shared" si="1"/>
        <v>0.49 (0.09)</v>
      </c>
      <c r="G33" s="160" t="str">
        <f t="shared" si="13"/>
        <v>Moderate</v>
      </c>
      <c r="H33" s="160">
        <f t="shared" si="3"/>
        <v>11</v>
      </c>
      <c r="I33" s="163"/>
      <c r="J33" s="164">
        <f>calculating_kappa_errors!D33</f>
        <v>0.76767676767676762</v>
      </c>
      <c r="K33" s="165">
        <f t="shared" si="4"/>
        <v>76.8</v>
      </c>
      <c r="L33" s="164">
        <f>calculating_kappa_errors!K33</f>
        <v>0.4884295663895753</v>
      </c>
      <c r="M33" s="166">
        <f t="shared" si="5"/>
        <v>0.49</v>
      </c>
      <c r="N33" s="167">
        <f>calculating_kappa_errors!J33</f>
        <v>9.3461063194767657E-2</v>
      </c>
      <c r="O33" s="166">
        <f t="shared" si="6"/>
        <v>0.09</v>
      </c>
      <c r="P33" s="164">
        <v>140</v>
      </c>
      <c r="Q33" s="164">
        <f t="shared" si="7"/>
        <v>0.76767676767676762</v>
      </c>
      <c r="R33" s="164">
        <f t="shared" si="8"/>
        <v>3.5692050740237645E-2</v>
      </c>
      <c r="S33" s="165">
        <f t="shared" si="9"/>
        <v>3.5999999999999996</v>
      </c>
    </row>
    <row r="34" spans="1:19" ht="12" customHeight="1">
      <c r="A34" s="195"/>
      <c r="B34" s="195"/>
      <c r="C34" s="197"/>
      <c r="D34" s="160" t="s">
        <v>160</v>
      </c>
      <c r="E34" s="161" t="str">
        <f t="shared" si="0"/>
        <v>62.6 (4.1)</v>
      </c>
      <c r="F34" s="162" t="str">
        <f t="shared" si="1"/>
        <v>0.16 (0.11)</v>
      </c>
      <c r="G34" s="160" t="str">
        <f>IF(L34&lt;0.4,"Poor",IF(L34&gt;0.8,"Strong","Moderate"))</f>
        <v>Poor</v>
      </c>
      <c r="H34" s="160">
        <f t="shared" si="3"/>
        <v>17</v>
      </c>
      <c r="I34" s="163"/>
      <c r="J34" s="164">
        <f>calculating_kappa_errors!D34</f>
        <v>0.6262626262626263</v>
      </c>
      <c r="K34" s="165">
        <f t="shared" si="4"/>
        <v>62.6</v>
      </c>
      <c r="L34" s="164">
        <f>calculating_kappa_errors!K34</f>
        <v>0.15831801470588236</v>
      </c>
      <c r="M34" s="166">
        <f t="shared" si="5"/>
        <v>0.16</v>
      </c>
      <c r="N34" s="167">
        <f>calculating_kappa_errors!J34</f>
        <v>0.10950284869069662</v>
      </c>
      <c r="O34" s="166">
        <f t="shared" si="6"/>
        <v>0.11</v>
      </c>
      <c r="P34" s="164">
        <v>141</v>
      </c>
      <c r="Q34" s="164">
        <f t="shared" si="7"/>
        <v>0.6262626262626263</v>
      </c>
      <c r="R34" s="164">
        <f t="shared" si="8"/>
        <v>4.0742901675569661E-2</v>
      </c>
      <c r="S34" s="165">
        <f t="shared" si="9"/>
        <v>4.1000000000000005</v>
      </c>
    </row>
    <row r="35" spans="1:19" ht="12" customHeight="1">
      <c r="A35" s="195"/>
      <c r="B35" s="195" t="s">
        <v>161</v>
      </c>
      <c r="C35" s="197" t="s">
        <v>163</v>
      </c>
      <c r="D35" s="160" t="s">
        <v>99</v>
      </c>
      <c r="E35" s="161" t="str">
        <f t="shared" si="0"/>
        <v>81.8 (3.2)</v>
      </c>
      <c r="F35" s="162" t="str">
        <f t="shared" si="1"/>
        <v>0.63 (0.08)</v>
      </c>
      <c r="G35" s="160" t="str">
        <f t="shared" ref="G35" si="14">IF(L35&lt;0.4,"Poor",IF(L35&gt;0.8,"Strong","Moderate"))</f>
        <v>Moderate</v>
      </c>
      <c r="H35" s="160">
        <f t="shared" si="3"/>
        <v>5</v>
      </c>
      <c r="I35" s="163"/>
      <c r="J35" s="164">
        <f>calculating_kappa_errors!D35</f>
        <v>0.81818181818181823</v>
      </c>
      <c r="K35" s="165">
        <f t="shared" si="4"/>
        <v>81.8</v>
      </c>
      <c r="L35" s="164">
        <f>calculating_kappa_errors!K35</f>
        <v>0.62688442211055284</v>
      </c>
      <c r="M35" s="166">
        <f t="shared" si="5"/>
        <v>0.63</v>
      </c>
      <c r="N35" s="167">
        <f>calculating_kappa_errors!J35</f>
        <v>7.9548508489467706E-2</v>
      </c>
      <c r="O35" s="166">
        <f t="shared" si="6"/>
        <v>0.08</v>
      </c>
      <c r="P35" s="164">
        <v>142</v>
      </c>
      <c r="Q35" s="164">
        <f t="shared" si="7"/>
        <v>0.81818181818181823</v>
      </c>
      <c r="R35" s="164">
        <f t="shared" si="8"/>
        <v>3.2366772496195996E-2</v>
      </c>
      <c r="S35" s="165">
        <f t="shared" si="9"/>
        <v>3.2</v>
      </c>
    </row>
    <row r="36" spans="1:19" ht="12" customHeight="1">
      <c r="A36" s="195"/>
      <c r="B36" s="195"/>
      <c r="C36" s="197"/>
      <c r="D36" s="160" t="s">
        <v>100</v>
      </c>
      <c r="E36" s="161" t="str">
        <f t="shared" si="0"/>
        <v>76.8 (3.5)</v>
      </c>
      <c r="F36" s="162" t="str">
        <f t="shared" si="1"/>
        <v>0.51 (0.09)</v>
      </c>
      <c r="G36" s="160" t="str">
        <f>IF(L36&lt;0.4,"Poor",IF(L36&gt;0.8,"Strong","Moderate"))</f>
        <v>Moderate</v>
      </c>
      <c r="H36" s="160">
        <f t="shared" si="3"/>
        <v>11</v>
      </c>
      <c r="I36" s="163"/>
      <c r="J36" s="164">
        <f>calculating_kappa_errors!D36</f>
        <v>0.76767676767676762</v>
      </c>
      <c r="K36" s="165">
        <f t="shared" si="4"/>
        <v>76.8</v>
      </c>
      <c r="L36" s="164">
        <f>calculating_kappa_errors!K36</f>
        <v>0.51304533789563711</v>
      </c>
      <c r="M36" s="166">
        <f t="shared" si="5"/>
        <v>0.51</v>
      </c>
      <c r="N36" s="167">
        <f>calculating_kappa_errors!J36</f>
        <v>8.8963899118885983E-2</v>
      </c>
      <c r="O36" s="166">
        <f t="shared" si="6"/>
        <v>0.09</v>
      </c>
      <c r="P36" s="164">
        <v>143</v>
      </c>
      <c r="Q36" s="164">
        <f t="shared" si="7"/>
        <v>0.76767676767676762</v>
      </c>
      <c r="R36" s="164">
        <f t="shared" si="8"/>
        <v>3.5315674133213723E-2</v>
      </c>
      <c r="S36" s="165">
        <f t="shared" si="9"/>
        <v>3.5000000000000004</v>
      </c>
    </row>
    <row r="37" spans="1:19" ht="12" customHeight="1">
      <c r="A37" s="195"/>
      <c r="B37" s="195"/>
      <c r="C37" s="197"/>
      <c r="D37" s="160" t="s">
        <v>159</v>
      </c>
      <c r="E37" s="161" t="str">
        <f t="shared" si="0"/>
        <v>76.8 (3.5)</v>
      </c>
      <c r="F37" s="162" t="str">
        <f t="shared" si="1"/>
        <v>0.49 (0.09)</v>
      </c>
      <c r="G37" s="160" t="str">
        <f t="shared" ref="G37" si="15">IF(L37&lt;0.4,"Poor",IF(L37&gt;0.8,"Strong","Moderate"))</f>
        <v>Moderate</v>
      </c>
      <c r="H37" s="160">
        <f t="shared" si="3"/>
        <v>11</v>
      </c>
      <c r="I37" s="163"/>
      <c r="J37" s="164">
        <f>calculating_kappa_errors!D37</f>
        <v>0.76767676767676762</v>
      </c>
      <c r="K37" s="165">
        <f t="shared" si="4"/>
        <v>76.8</v>
      </c>
      <c r="L37" s="164">
        <f>calculating_kappa_errors!K37</f>
        <v>0.49343715239154606</v>
      </c>
      <c r="M37" s="166">
        <f t="shared" si="5"/>
        <v>0.49</v>
      </c>
      <c r="N37" s="167">
        <f>calculating_kappa_errors!J37</f>
        <v>9.2546205179068045E-2</v>
      </c>
      <c r="O37" s="166">
        <f t="shared" si="6"/>
        <v>0.09</v>
      </c>
      <c r="P37" s="164">
        <v>144</v>
      </c>
      <c r="Q37" s="164">
        <f t="shared" si="7"/>
        <v>0.76767676767676762</v>
      </c>
      <c r="R37" s="164">
        <f t="shared" si="8"/>
        <v>3.5192836633614263E-2</v>
      </c>
      <c r="S37" s="165">
        <f t="shared" si="9"/>
        <v>3.5000000000000004</v>
      </c>
    </row>
    <row r="38" spans="1:19" ht="12" customHeight="1">
      <c r="A38" s="195"/>
      <c r="B38" s="195"/>
      <c r="C38" s="197"/>
      <c r="D38" s="160" t="s">
        <v>160</v>
      </c>
      <c r="E38" s="161" t="str">
        <f t="shared" si="0"/>
        <v>62.6 (4)</v>
      </c>
      <c r="F38" s="162" t="str">
        <f t="shared" si="1"/>
        <v>0.17 (0.11)</v>
      </c>
      <c r="G38" s="160" t="str">
        <f>IF(L38&lt;0.4,"Poor",IF(L38&gt;0.8,"Strong","Moderate"))</f>
        <v>Poor</v>
      </c>
      <c r="H38" s="160">
        <f t="shared" si="3"/>
        <v>17</v>
      </c>
      <c r="I38" s="163"/>
      <c r="J38" s="164">
        <f>calculating_kappa_errors!D38</f>
        <v>0.6262626262626263</v>
      </c>
      <c r="K38" s="165">
        <f t="shared" si="4"/>
        <v>62.6</v>
      </c>
      <c r="L38" s="164">
        <f>calculating_kappa_errors!K38</f>
        <v>0.16712141882673953</v>
      </c>
      <c r="M38" s="166">
        <f t="shared" si="5"/>
        <v>0.17</v>
      </c>
      <c r="N38" s="167">
        <f>calculating_kappa_errors!J38</f>
        <v>0.10835752558024365</v>
      </c>
      <c r="O38" s="166">
        <f t="shared" si="6"/>
        <v>0.11</v>
      </c>
      <c r="P38" s="164">
        <v>145</v>
      </c>
      <c r="Q38" s="164">
        <f t="shared" si="7"/>
        <v>0.6262626262626263</v>
      </c>
      <c r="R38" s="164">
        <f t="shared" si="8"/>
        <v>4.0177000558242221E-2</v>
      </c>
      <c r="S38" s="165">
        <f t="shared" si="9"/>
        <v>4</v>
      </c>
    </row>
    <row r="39" spans="1:19" ht="12" customHeight="1">
      <c r="A39" s="195" t="s">
        <v>107</v>
      </c>
      <c r="B39" s="195" t="s">
        <v>98</v>
      </c>
      <c r="C39" s="197" t="s">
        <v>158</v>
      </c>
      <c r="D39" s="160" t="s">
        <v>99</v>
      </c>
      <c r="E39" s="161" t="str">
        <f t="shared" si="0"/>
        <v>0 (0)</v>
      </c>
      <c r="F39" s="168" t="str">
        <f t="shared" si="1"/>
        <v>-0.29 (0)</v>
      </c>
      <c r="G39" s="160" t="str">
        <f t="shared" ref="G39:G49" si="16">IF(L39&lt;0.4,"Poor",IF(L39&gt;0.8,"Strong","Moderate"))</f>
        <v>Poor</v>
      </c>
      <c r="H39" s="160">
        <f t="shared" si="3"/>
        <v>48</v>
      </c>
      <c r="I39" s="163"/>
      <c r="J39" s="164">
        <f>calculating_kappa_errors!D39</f>
        <v>0</v>
      </c>
      <c r="K39" s="165">
        <f t="shared" si="4"/>
        <v>0</v>
      </c>
      <c r="L39" s="164">
        <f>calculating_kappa_errors!K39</f>
        <v>-0.2861514919663351</v>
      </c>
      <c r="M39" s="166">
        <f t="shared" si="5"/>
        <v>-0.28999999999999998</v>
      </c>
      <c r="N39" s="167">
        <f>calculating_kappa_errors!J39</f>
        <v>0</v>
      </c>
      <c r="O39" s="166">
        <f t="shared" si="6"/>
        <v>0</v>
      </c>
      <c r="P39" s="164">
        <v>146</v>
      </c>
      <c r="Q39" s="164">
        <f t="shared" si="7"/>
        <v>0</v>
      </c>
      <c r="R39" s="164">
        <f t="shared" si="8"/>
        <v>0</v>
      </c>
      <c r="S39" s="165">
        <f t="shared" si="9"/>
        <v>0</v>
      </c>
    </row>
    <row r="40" spans="1:19" ht="12" customHeight="1">
      <c r="A40" s="195"/>
      <c r="B40" s="195"/>
      <c r="C40" s="197"/>
      <c r="D40" s="160" t="s">
        <v>100</v>
      </c>
      <c r="E40" s="161" t="str">
        <f t="shared" si="0"/>
        <v>48.8 (4.1)</v>
      </c>
      <c r="F40" s="162" t="str">
        <f t="shared" si="1"/>
        <v>-0.02 (0.16)</v>
      </c>
      <c r="G40" s="160" t="str">
        <f t="shared" si="16"/>
        <v>Poor</v>
      </c>
      <c r="H40" s="160">
        <f t="shared" si="3"/>
        <v>25</v>
      </c>
      <c r="I40" s="163"/>
      <c r="J40" s="164">
        <f>calculating_kappa_errors!D40</f>
        <v>0.48780487804878048</v>
      </c>
      <c r="K40" s="165">
        <f t="shared" si="4"/>
        <v>48.8</v>
      </c>
      <c r="L40" s="164">
        <f>calculating_kappa_errors!K40</f>
        <v>-1.8934911242603623E-2</v>
      </c>
      <c r="M40" s="166">
        <f t="shared" si="5"/>
        <v>-0.02</v>
      </c>
      <c r="N40" s="167">
        <f>calculating_kappa_errors!J40</f>
        <v>0.15529585516993372</v>
      </c>
      <c r="O40" s="166">
        <f t="shared" si="6"/>
        <v>0.16</v>
      </c>
      <c r="P40" s="164">
        <v>147</v>
      </c>
      <c r="Q40" s="164">
        <f t="shared" si="7"/>
        <v>0.48780487804878048</v>
      </c>
      <c r="R40" s="164">
        <f t="shared" si="8"/>
        <v>4.12270368160252E-2</v>
      </c>
      <c r="S40" s="165">
        <f t="shared" si="9"/>
        <v>4.1000000000000005</v>
      </c>
    </row>
    <row r="41" spans="1:19" ht="12" customHeight="1">
      <c r="A41" s="195"/>
      <c r="B41" s="195"/>
      <c r="C41" s="197"/>
      <c r="D41" s="160" t="s">
        <v>159</v>
      </c>
      <c r="E41" s="161" t="str">
        <f t="shared" si="0"/>
        <v>53.7 (4.1)</v>
      </c>
      <c r="F41" s="162" t="str">
        <f t="shared" si="1"/>
        <v>0 (0.17)</v>
      </c>
      <c r="G41" s="160" t="str">
        <f t="shared" si="16"/>
        <v>Poor</v>
      </c>
      <c r="H41" s="160">
        <f t="shared" si="3"/>
        <v>22</v>
      </c>
      <c r="I41" s="163"/>
      <c r="J41" s="164">
        <f>calculating_kappa_errors!D41</f>
        <v>0.53658536585365857</v>
      </c>
      <c r="K41" s="165">
        <f t="shared" si="4"/>
        <v>53.7</v>
      </c>
      <c r="L41" s="164">
        <f>calculating_kappa_errors!K41</f>
        <v>0</v>
      </c>
      <c r="M41" s="166">
        <f t="shared" si="5"/>
        <v>0</v>
      </c>
      <c r="N41" s="167">
        <f>calculating_kappa_errors!J41</f>
        <v>0.16805158447610483</v>
      </c>
      <c r="O41" s="166">
        <f t="shared" si="6"/>
        <v>0.17</v>
      </c>
      <c r="P41" s="164">
        <v>148</v>
      </c>
      <c r="Q41" s="164">
        <f t="shared" si="7"/>
        <v>0.53658536585365857</v>
      </c>
      <c r="R41" s="164">
        <f t="shared" si="8"/>
        <v>4.0989576048439072E-2</v>
      </c>
      <c r="S41" s="165">
        <f t="shared" si="9"/>
        <v>4.1000000000000005</v>
      </c>
    </row>
    <row r="42" spans="1:19" ht="12" customHeight="1">
      <c r="A42" s="195"/>
      <c r="B42" s="195"/>
      <c r="C42" s="197"/>
      <c r="D42" s="160" t="s">
        <v>160</v>
      </c>
      <c r="E42" s="161" t="str">
        <f t="shared" si="0"/>
        <v>53.7 (4.1)</v>
      </c>
      <c r="F42" s="162" t="str">
        <f t="shared" si="1"/>
        <v>0 (0.17)</v>
      </c>
      <c r="G42" s="160" t="str">
        <f t="shared" si="16"/>
        <v>Poor</v>
      </c>
      <c r="H42" s="160">
        <f t="shared" si="3"/>
        <v>22</v>
      </c>
      <c r="I42" s="163"/>
      <c r="J42" s="164">
        <f>calculating_kappa_errors!D42</f>
        <v>0.53658536585365857</v>
      </c>
      <c r="K42" s="165">
        <f t="shared" si="4"/>
        <v>53.7</v>
      </c>
      <c r="L42" s="164">
        <f>calculating_kappa_errors!K42</f>
        <v>0</v>
      </c>
      <c r="M42" s="166">
        <f t="shared" si="5"/>
        <v>0</v>
      </c>
      <c r="N42" s="167">
        <f>calculating_kappa_errors!J42</f>
        <v>0.16805158447610483</v>
      </c>
      <c r="O42" s="166">
        <f t="shared" si="6"/>
        <v>0.17</v>
      </c>
      <c r="P42" s="164">
        <v>149</v>
      </c>
      <c r="Q42" s="164">
        <f t="shared" si="7"/>
        <v>0.53658536585365857</v>
      </c>
      <c r="R42" s="164">
        <f t="shared" si="8"/>
        <v>4.0851795571042092E-2</v>
      </c>
      <c r="S42" s="165">
        <f t="shared" si="9"/>
        <v>4.1000000000000005</v>
      </c>
    </row>
    <row r="43" spans="1:19" ht="12" customHeight="1">
      <c r="A43" s="195"/>
      <c r="B43" s="195" t="s">
        <v>161</v>
      </c>
      <c r="C43" s="197" t="s">
        <v>162</v>
      </c>
      <c r="D43" s="160" t="s">
        <v>99</v>
      </c>
      <c r="E43" s="161" t="str">
        <f t="shared" si="0"/>
        <v>58.5 (4)</v>
      </c>
      <c r="F43" s="162" t="str">
        <f t="shared" si="1"/>
        <v>0.14 (0.16)</v>
      </c>
      <c r="G43" s="160" t="str">
        <f t="shared" si="16"/>
        <v>Poor</v>
      </c>
      <c r="H43" s="160">
        <f t="shared" si="3"/>
        <v>21</v>
      </c>
      <c r="I43" s="163"/>
      <c r="J43" s="164">
        <f>calculating_kappa_errors!D43</f>
        <v>0.58536585365853655</v>
      </c>
      <c r="K43" s="165">
        <f t="shared" si="4"/>
        <v>58.5</v>
      </c>
      <c r="L43" s="164">
        <f>calculating_kappa_errors!K43</f>
        <v>0.14478527607361952</v>
      </c>
      <c r="M43" s="166">
        <f t="shared" si="5"/>
        <v>0.14000000000000001</v>
      </c>
      <c r="N43" s="167">
        <f>calculating_kappa_errors!J43</f>
        <v>0.15869542296171527</v>
      </c>
      <c r="O43" s="166">
        <f t="shared" si="6"/>
        <v>0.16</v>
      </c>
      <c r="P43" s="164">
        <v>150</v>
      </c>
      <c r="Q43" s="164">
        <f t="shared" si="7"/>
        <v>0.58536585365853655</v>
      </c>
      <c r="R43" s="164">
        <f t="shared" si="8"/>
        <v>4.0225420737733275E-2</v>
      </c>
      <c r="S43" s="165">
        <f t="shared" si="9"/>
        <v>4</v>
      </c>
    </row>
    <row r="44" spans="1:19" ht="12" customHeight="1">
      <c r="A44" s="195"/>
      <c r="B44" s="195"/>
      <c r="C44" s="197"/>
      <c r="D44" s="160" t="s">
        <v>100</v>
      </c>
      <c r="E44" s="161" t="str">
        <f t="shared" si="0"/>
        <v>68.3 (3.8)</v>
      </c>
      <c r="F44" s="162" t="str">
        <f t="shared" si="1"/>
        <v>0.19 (0.18)</v>
      </c>
      <c r="G44" s="160" t="str">
        <f t="shared" si="16"/>
        <v>Poor</v>
      </c>
      <c r="H44" s="160">
        <f t="shared" si="3"/>
        <v>15</v>
      </c>
      <c r="I44" s="163"/>
      <c r="J44" s="164">
        <f>calculating_kappa_errors!D44</f>
        <v>0.68292682926829273</v>
      </c>
      <c r="K44" s="165">
        <f t="shared" si="4"/>
        <v>68.300000000000011</v>
      </c>
      <c r="L44" s="164">
        <f>calculating_kappa_errors!K44</f>
        <v>0.19364599092284435</v>
      </c>
      <c r="M44" s="166">
        <f t="shared" si="5"/>
        <v>0.19</v>
      </c>
      <c r="N44" s="167">
        <f>calculating_kappa_errors!J44</f>
        <v>0.18481667841543664</v>
      </c>
      <c r="O44" s="166">
        <f t="shared" si="6"/>
        <v>0.18</v>
      </c>
      <c r="P44" s="164">
        <v>151</v>
      </c>
      <c r="Q44" s="164">
        <f t="shared" si="7"/>
        <v>0.68292682926829273</v>
      </c>
      <c r="R44" s="164">
        <f t="shared" si="8"/>
        <v>3.7868522560121312E-2</v>
      </c>
      <c r="S44" s="165">
        <f t="shared" si="9"/>
        <v>3.8</v>
      </c>
    </row>
    <row r="45" spans="1:19" ht="12" customHeight="1">
      <c r="A45" s="195"/>
      <c r="B45" s="195"/>
      <c r="C45" s="197"/>
      <c r="D45" s="160" t="s">
        <v>159</v>
      </c>
      <c r="E45" s="161" t="str">
        <f t="shared" si="0"/>
        <v>73.2 (3.6)</v>
      </c>
      <c r="F45" s="162" t="str">
        <f t="shared" si="1"/>
        <v>-0.04 (0.27)</v>
      </c>
      <c r="G45" s="160" t="str">
        <f t="shared" si="16"/>
        <v>Poor</v>
      </c>
      <c r="H45" s="160">
        <f t="shared" si="3"/>
        <v>14</v>
      </c>
      <c r="I45" s="163"/>
      <c r="J45" s="164">
        <f>calculating_kappa_errors!D45</f>
        <v>0.73170731707317072</v>
      </c>
      <c r="K45" s="165">
        <f t="shared" si="4"/>
        <v>73.2</v>
      </c>
      <c r="L45" s="164">
        <f>calculating_kappa_errors!K45</f>
        <v>-4.1570438799076237E-2</v>
      </c>
      <c r="M45" s="166">
        <f t="shared" si="5"/>
        <v>-0.04</v>
      </c>
      <c r="N45" s="167">
        <f>calculating_kappa_errors!J45</f>
        <v>0.26863401429275469</v>
      </c>
      <c r="O45" s="166">
        <f t="shared" si="6"/>
        <v>0.27</v>
      </c>
      <c r="P45" s="164">
        <v>152</v>
      </c>
      <c r="Q45" s="164">
        <f t="shared" si="7"/>
        <v>0.73170731707317072</v>
      </c>
      <c r="R45" s="164">
        <f t="shared" si="8"/>
        <v>3.5937786082591572E-2</v>
      </c>
      <c r="S45" s="165">
        <f t="shared" si="9"/>
        <v>3.5999999999999996</v>
      </c>
    </row>
    <row r="46" spans="1:19" ht="12" customHeight="1">
      <c r="A46" s="195"/>
      <c r="B46" s="195"/>
      <c r="C46" s="197"/>
      <c r="D46" s="160" t="s">
        <v>160</v>
      </c>
      <c r="E46" s="161" t="str">
        <f t="shared" si="0"/>
        <v>95.1 (1.7)</v>
      </c>
      <c r="F46" s="162" t="str">
        <f t="shared" si="1"/>
        <v>0 (0.69)</v>
      </c>
      <c r="G46" s="160" t="str">
        <f t="shared" si="16"/>
        <v>Poor</v>
      </c>
      <c r="H46" s="160">
        <f t="shared" si="3"/>
        <v>2</v>
      </c>
      <c r="I46" s="163"/>
      <c r="J46" s="164">
        <f>calculating_kappa_errors!D46</f>
        <v>0.95121951219512191</v>
      </c>
      <c r="K46" s="165">
        <f t="shared" si="4"/>
        <v>95.1</v>
      </c>
      <c r="L46" s="164">
        <f>calculating_kappa_errors!K46</f>
        <v>0</v>
      </c>
      <c r="M46" s="166">
        <f t="shared" si="5"/>
        <v>0</v>
      </c>
      <c r="N46" s="167">
        <f>calculating_kappa_errors!J46</f>
        <v>0.68964465929749696</v>
      </c>
      <c r="O46" s="166">
        <f t="shared" si="6"/>
        <v>0.69</v>
      </c>
      <c r="P46" s="164">
        <v>153</v>
      </c>
      <c r="Q46" s="164">
        <f t="shared" si="7"/>
        <v>0.95121951219512191</v>
      </c>
      <c r="R46" s="164">
        <f t="shared" si="8"/>
        <v>1.7414769446229682E-2</v>
      </c>
      <c r="S46" s="165">
        <f t="shared" si="9"/>
        <v>1.7000000000000002</v>
      </c>
    </row>
    <row r="47" spans="1:19" ht="12" customHeight="1">
      <c r="A47" s="195"/>
      <c r="B47" s="195" t="s">
        <v>161</v>
      </c>
      <c r="C47" s="197" t="s">
        <v>163</v>
      </c>
      <c r="D47" s="160" t="s">
        <v>99</v>
      </c>
      <c r="E47" s="161" t="str">
        <f t="shared" si="0"/>
        <v>61 (3.9)</v>
      </c>
      <c r="F47" s="162" t="str">
        <f t="shared" si="1"/>
        <v>0 (0.2)</v>
      </c>
      <c r="G47" s="160" t="str">
        <f t="shared" si="16"/>
        <v>Poor</v>
      </c>
      <c r="H47" s="160">
        <f t="shared" si="3"/>
        <v>20</v>
      </c>
      <c r="I47" s="163"/>
      <c r="J47" s="164">
        <f>calculating_kappa_errors!D47</f>
        <v>0.6097560975609756</v>
      </c>
      <c r="K47" s="165">
        <f t="shared" si="4"/>
        <v>61</v>
      </c>
      <c r="L47" s="164">
        <f>calculating_kappa_errors!K47</f>
        <v>0</v>
      </c>
      <c r="M47" s="166">
        <f t="shared" si="5"/>
        <v>0</v>
      </c>
      <c r="N47" s="167">
        <f>calculating_kappa_errors!J47</f>
        <v>0.1952172023607576</v>
      </c>
      <c r="O47" s="166">
        <f t="shared" si="6"/>
        <v>0.2</v>
      </c>
      <c r="P47" s="164">
        <v>154</v>
      </c>
      <c r="Q47" s="164">
        <f t="shared" si="7"/>
        <v>0.6097560975609756</v>
      </c>
      <c r="R47" s="164">
        <f t="shared" si="8"/>
        <v>3.9308437269530747E-2</v>
      </c>
      <c r="S47" s="165">
        <f t="shared" si="9"/>
        <v>3.9</v>
      </c>
    </row>
    <row r="48" spans="1:19" ht="12" customHeight="1">
      <c r="A48" s="195"/>
      <c r="B48" s="195"/>
      <c r="C48" s="197"/>
      <c r="D48" s="160" t="s">
        <v>100</v>
      </c>
      <c r="E48" s="161" t="str">
        <f t="shared" si="0"/>
        <v>65.9 (3.8)</v>
      </c>
      <c r="F48" s="162" t="str">
        <f t="shared" si="1"/>
        <v>0 (0.22)</v>
      </c>
      <c r="G48" s="160" t="str">
        <f t="shared" si="16"/>
        <v>Poor</v>
      </c>
      <c r="H48" s="160">
        <f t="shared" si="3"/>
        <v>16</v>
      </c>
      <c r="I48" s="163"/>
      <c r="J48" s="164">
        <f>calculating_kappa_errors!D48</f>
        <v>0.65853658536585369</v>
      </c>
      <c r="K48" s="165">
        <f t="shared" si="4"/>
        <v>65.900000000000006</v>
      </c>
      <c r="L48" s="164">
        <f>calculating_kappa_errors!K48</f>
        <v>0</v>
      </c>
      <c r="M48" s="166">
        <f t="shared" si="5"/>
        <v>0</v>
      </c>
      <c r="N48" s="167">
        <f>calculating_kappa_errors!J48</f>
        <v>0.21688321172034597</v>
      </c>
      <c r="O48" s="166">
        <f t="shared" si="6"/>
        <v>0.22</v>
      </c>
      <c r="P48" s="164">
        <v>155</v>
      </c>
      <c r="Q48" s="164">
        <f t="shared" si="7"/>
        <v>0.65853658536585369</v>
      </c>
      <c r="R48" s="164">
        <f t="shared" si="8"/>
        <v>3.8088703862680047E-2</v>
      </c>
      <c r="S48" s="165">
        <f t="shared" si="9"/>
        <v>3.8</v>
      </c>
    </row>
    <row r="49" spans="1:19" ht="12" customHeight="1">
      <c r="A49" s="195"/>
      <c r="B49" s="195"/>
      <c r="C49" s="197"/>
      <c r="D49" s="160" t="s">
        <v>159</v>
      </c>
      <c r="E49" s="161" t="str">
        <f t="shared" si="0"/>
        <v>78 (3.3)</v>
      </c>
      <c r="F49" s="162" t="str">
        <f t="shared" si="1"/>
        <v>0 (0.29)</v>
      </c>
      <c r="G49" s="160" t="str">
        <f t="shared" si="16"/>
        <v>Poor</v>
      </c>
      <c r="H49" s="160">
        <f>RANK(K49,K$3:K$50)</f>
        <v>9</v>
      </c>
      <c r="I49" s="163"/>
      <c r="J49" s="164">
        <f>calculating_kappa_errors!D49</f>
        <v>0.78048780487804881</v>
      </c>
      <c r="K49" s="165">
        <f t="shared" si="4"/>
        <v>78</v>
      </c>
      <c r="L49" s="164">
        <f>calculating_kappa_errors!K49</f>
        <v>0</v>
      </c>
      <c r="M49" s="166">
        <f t="shared" si="5"/>
        <v>0</v>
      </c>
      <c r="N49" s="167">
        <f>calculating_kappa_errors!J49</f>
        <v>0.29448406953292416</v>
      </c>
      <c r="O49" s="166">
        <f t="shared" si="6"/>
        <v>0.28999999999999998</v>
      </c>
      <c r="P49" s="164">
        <v>156</v>
      </c>
      <c r="Q49" s="164">
        <f t="shared" si="7"/>
        <v>0.78048780487804881</v>
      </c>
      <c r="R49" s="164">
        <f t="shared" si="8"/>
        <v>3.3139815633500366E-2</v>
      </c>
      <c r="S49" s="165">
        <f t="shared" si="9"/>
        <v>3.3000000000000003</v>
      </c>
    </row>
    <row r="50" spans="1:19" ht="12" customHeight="1">
      <c r="A50" s="196"/>
      <c r="B50" s="196"/>
      <c r="C50" s="198"/>
      <c r="D50" s="169" t="s">
        <v>160</v>
      </c>
      <c r="E50" s="170" t="str">
        <f t="shared" si="0"/>
        <v>100 (0)</v>
      </c>
      <c r="F50" s="171" t="str">
        <f t="shared" si="1"/>
        <v>0 (0)</v>
      </c>
      <c r="G50" s="172" t="str">
        <f>IF(L50&lt;0.4,"Poor",IF(L50&gt;0.8,"Strong","Moderate"))</f>
        <v>Poor</v>
      </c>
      <c r="H50" s="172">
        <f t="shared" si="3"/>
        <v>1</v>
      </c>
      <c r="I50" s="163"/>
      <c r="J50" s="164">
        <f>calculating_kappa_errors!D50</f>
        <v>1</v>
      </c>
      <c r="K50" s="165">
        <f t="shared" si="4"/>
        <v>100</v>
      </c>
      <c r="L50" s="164">
        <f>calculating_kappa_errors!K50</f>
        <v>0</v>
      </c>
      <c r="M50" s="166">
        <f t="shared" si="5"/>
        <v>0</v>
      </c>
      <c r="N50" s="167">
        <v>0</v>
      </c>
      <c r="O50" s="166">
        <f t="shared" si="6"/>
        <v>0</v>
      </c>
      <c r="P50" s="164">
        <v>157</v>
      </c>
      <c r="Q50" s="164">
        <f t="shared" si="7"/>
        <v>1</v>
      </c>
      <c r="R50" s="164">
        <f t="shared" si="8"/>
        <v>0</v>
      </c>
      <c r="S50" s="165">
        <f t="shared" si="9"/>
        <v>0</v>
      </c>
    </row>
  </sheetData>
  <mergeCells count="31">
    <mergeCell ref="A1:H1"/>
    <mergeCell ref="J1:O1"/>
    <mergeCell ref="P1:S1"/>
    <mergeCell ref="A3:A14"/>
    <mergeCell ref="B3:B6"/>
    <mergeCell ref="C3:C6"/>
    <mergeCell ref="B7:B10"/>
    <mergeCell ref="C7:C10"/>
    <mergeCell ref="B11:B14"/>
    <mergeCell ref="C11:C14"/>
    <mergeCell ref="A15:A26"/>
    <mergeCell ref="B15:B18"/>
    <mergeCell ref="C15:C18"/>
    <mergeCell ref="B19:B22"/>
    <mergeCell ref="C19:C22"/>
    <mergeCell ref="B23:B26"/>
    <mergeCell ref="C23:C26"/>
    <mergeCell ref="A27:A38"/>
    <mergeCell ref="B27:B30"/>
    <mergeCell ref="C27:C30"/>
    <mergeCell ref="B31:B34"/>
    <mergeCell ref="C31:C34"/>
    <mergeCell ref="B35:B38"/>
    <mergeCell ref="C35:C38"/>
    <mergeCell ref="A39:A50"/>
    <mergeCell ref="B39:B42"/>
    <mergeCell ref="C39:C42"/>
    <mergeCell ref="B43:B46"/>
    <mergeCell ref="C43:C46"/>
    <mergeCell ref="B47:B50"/>
    <mergeCell ref="C47:C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98F6A-06B1-B247-B1A6-BB5B25F09881}">
  <dimension ref="A1:AA12"/>
  <sheetViews>
    <sheetView workbookViewId="0">
      <selection activeCell="A2" sqref="A2:J12"/>
    </sheetView>
  </sheetViews>
  <sheetFormatPr baseColWidth="10" defaultRowHeight="16"/>
  <cols>
    <col min="1" max="1" width="11.5" customWidth="1"/>
    <col min="2" max="2" width="15.83203125" customWidth="1"/>
    <col min="3" max="3" width="13.6640625" customWidth="1"/>
    <col min="6" max="6" width="2.33203125" customWidth="1"/>
  </cols>
  <sheetData>
    <row r="1" spans="1:27" ht="52" customHeight="1">
      <c r="A1" s="205" t="s">
        <v>164</v>
      </c>
      <c r="B1" s="205"/>
      <c r="C1" s="205"/>
      <c r="D1" s="205"/>
      <c r="E1" s="205"/>
      <c r="F1" s="205"/>
      <c r="G1" s="205"/>
      <c r="H1" s="205"/>
      <c r="I1" s="205"/>
      <c r="J1" s="205"/>
      <c r="K1" s="173"/>
      <c r="L1" s="206" t="s">
        <v>139</v>
      </c>
      <c r="M1" s="206"/>
      <c r="N1" s="206"/>
      <c r="O1" s="206"/>
      <c r="P1" s="206"/>
      <c r="Q1" s="206"/>
      <c r="R1" s="207" t="s">
        <v>140</v>
      </c>
      <c r="S1" s="207"/>
      <c r="T1" s="207"/>
      <c r="U1" s="207"/>
      <c r="V1" s="207"/>
      <c r="W1" s="207"/>
      <c r="X1" s="207"/>
      <c r="Y1" s="207"/>
      <c r="Z1" s="207"/>
      <c r="AA1" s="207"/>
    </row>
    <row r="2" spans="1:27">
      <c r="A2" s="210"/>
      <c r="B2" s="210"/>
      <c r="C2" s="210"/>
      <c r="D2" s="211" t="s">
        <v>165</v>
      </c>
      <c r="E2" s="211"/>
      <c r="F2" s="212"/>
      <c r="G2" s="211" t="s">
        <v>166</v>
      </c>
      <c r="H2" s="211"/>
      <c r="I2" s="210"/>
      <c r="J2" s="210"/>
      <c r="K2" s="173"/>
      <c r="L2" s="173"/>
      <c r="M2" s="173"/>
      <c r="N2" s="173"/>
      <c r="O2" s="173"/>
      <c r="P2" s="173"/>
      <c r="Q2" s="173"/>
      <c r="R2" s="173"/>
      <c r="S2" s="173"/>
      <c r="T2" s="173"/>
      <c r="U2" s="173"/>
      <c r="V2" s="173"/>
      <c r="W2" s="173"/>
      <c r="X2" s="173"/>
      <c r="Y2" s="173"/>
      <c r="Z2" s="173"/>
      <c r="AA2" s="173"/>
    </row>
    <row r="3" spans="1:27" ht="85">
      <c r="A3" s="213" t="s">
        <v>167</v>
      </c>
      <c r="B3" s="213" t="s">
        <v>143</v>
      </c>
      <c r="C3" s="213" t="s">
        <v>141</v>
      </c>
      <c r="D3" s="213" t="s">
        <v>168</v>
      </c>
      <c r="E3" s="213" t="s">
        <v>145</v>
      </c>
      <c r="F3" s="213"/>
      <c r="G3" s="213" t="s">
        <v>168</v>
      </c>
      <c r="H3" s="213" t="s">
        <v>145</v>
      </c>
      <c r="I3" s="213" t="s">
        <v>169</v>
      </c>
      <c r="J3" s="213" t="s">
        <v>170</v>
      </c>
      <c r="K3" s="173"/>
      <c r="L3" s="174" t="s">
        <v>171</v>
      </c>
      <c r="M3" s="174" t="s">
        <v>172</v>
      </c>
      <c r="N3" s="174" t="s">
        <v>173</v>
      </c>
      <c r="O3" s="175" t="s">
        <v>174</v>
      </c>
      <c r="P3" s="175" t="s">
        <v>175</v>
      </c>
      <c r="Q3" s="175" t="s">
        <v>176</v>
      </c>
      <c r="R3" s="176" t="s">
        <v>177</v>
      </c>
      <c r="S3" s="176" t="s">
        <v>178</v>
      </c>
      <c r="T3" s="176" t="s">
        <v>179</v>
      </c>
      <c r="U3" s="176" t="s">
        <v>180</v>
      </c>
      <c r="V3" s="176" t="s">
        <v>181</v>
      </c>
      <c r="W3" s="177" t="s">
        <v>182</v>
      </c>
      <c r="X3" s="177" t="s">
        <v>183</v>
      </c>
      <c r="Y3" s="177" t="s">
        <v>184</v>
      </c>
      <c r="Z3" s="177" t="s">
        <v>185</v>
      </c>
      <c r="AA3" s="177" t="s">
        <v>186</v>
      </c>
    </row>
    <row r="4" spans="1:27">
      <c r="A4" s="208" t="s">
        <v>161</v>
      </c>
      <c r="B4" s="209" t="s">
        <v>163</v>
      </c>
      <c r="C4" s="178" t="s">
        <v>97</v>
      </c>
      <c r="D4" s="214" t="str">
        <f>CONCATENATE(T4&amp;" ("&amp;V4&amp;")")</f>
        <v>1.8 (1.8)</v>
      </c>
      <c r="E4" s="215" t="str">
        <f t="shared" ref="E4:E12" si="0">CONCATENATE(M4&amp;" ("&amp;N4&amp;")")</f>
        <v>-0.02 (0.02)</v>
      </c>
      <c r="F4" s="215"/>
      <c r="G4" s="214" t="str">
        <f>CONCATENATE(Y4&amp;" ("&amp;AA4&amp;")")</f>
        <v>1.8 (1.8)</v>
      </c>
      <c r="H4" s="215" t="str">
        <f t="shared" ref="H4:H12" si="1">CONCATENATE((P4&amp;" ("&amp;Q4&amp;")"))</f>
        <v>-0.04 (0.02)</v>
      </c>
      <c r="I4" s="178" t="str">
        <f>IF(S4&gt;X4, "Forage", IF(S4&lt;X4, "Random", "Equal"))</f>
        <v>Equal</v>
      </c>
      <c r="J4" s="178" t="str">
        <f>IF(L4&gt;O4, "Forage", IF(L4&lt;O4, "Random", "Equal"))</f>
        <v>Forage</v>
      </c>
      <c r="K4" s="173"/>
      <c r="L4" s="180">
        <f>calculating_kappa_errors!K53</f>
        <v>-2.0267949158364822E-2</v>
      </c>
      <c r="M4" s="180">
        <f>ROUND(calculating_kappa_errors!K53,2)</f>
        <v>-0.02</v>
      </c>
      <c r="N4" s="180">
        <f>ROUND(calculating_kappa_errors!J53,2)</f>
        <v>0.02</v>
      </c>
      <c r="O4" s="180">
        <f>calculating_kappa_errors!K62</f>
        <v>-3.5926055109870951E-2</v>
      </c>
      <c r="P4" s="180">
        <f>ROUND(calculating_kappa_errors!K62,2)</f>
        <v>-0.04</v>
      </c>
      <c r="Q4" s="180">
        <f>ROUND(calculating_kappa_errors!J62,2)</f>
        <v>0.02</v>
      </c>
      <c r="R4" s="173">
        <v>55</v>
      </c>
      <c r="S4" s="173">
        <f>calculating_kappa_errors!D53</f>
        <v>1.8181818181818181E-2</v>
      </c>
      <c r="T4" s="181">
        <f>ROUND(S4,3)*100</f>
        <v>1.7999999999999998</v>
      </c>
      <c r="U4" s="173">
        <f>SQRT((S4*(1-S4))/R4)</f>
        <v>1.8015770702067717E-2</v>
      </c>
      <c r="V4" s="173">
        <f>ROUND(U4,3)*100</f>
        <v>1.7999999999999998</v>
      </c>
      <c r="W4" s="173">
        <v>55</v>
      </c>
      <c r="X4" s="173">
        <f>calculating_kappa_errors!D62</f>
        <v>1.8181818181818181E-2</v>
      </c>
      <c r="Y4" s="181">
        <f>ROUND(X4,3)*100</f>
        <v>1.7999999999999998</v>
      </c>
      <c r="Z4" s="173">
        <f>SQRT((X4*(1-X4))/W4)</f>
        <v>1.8015770702067717E-2</v>
      </c>
      <c r="AA4" s="173">
        <f>ROUND(Z4,3)*100</f>
        <v>1.7999999999999998</v>
      </c>
    </row>
    <row r="5" spans="1:27">
      <c r="A5" s="201"/>
      <c r="B5" s="202"/>
      <c r="C5" s="178" t="s">
        <v>105</v>
      </c>
      <c r="D5" s="214" t="str">
        <f t="shared" ref="D5:D12" si="2">CONCATENATE(T5&amp;" ("&amp;V5&amp;")")</f>
        <v>12.5 (4.4)</v>
      </c>
      <c r="E5" s="215" t="str">
        <f t="shared" si="0"/>
        <v>0.07 (0.09)</v>
      </c>
      <c r="F5" s="215"/>
      <c r="G5" s="214" t="str">
        <f t="shared" ref="G5:G12" si="3">CONCATENATE(Y5&amp;" ("&amp;AA5&amp;")")</f>
        <v>25 (5.8)</v>
      </c>
      <c r="H5" s="215" t="str">
        <f t="shared" si="1"/>
        <v>0.07 (0.13)</v>
      </c>
      <c r="I5" s="178" t="str">
        <f t="shared" ref="I5:I12" si="4">IF(S5&gt;X5, "Forage", IF(S5&lt;X5, "Random", "Equal"))</f>
        <v>Random</v>
      </c>
      <c r="J5" s="178" t="str">
        <f t="shared" ref="J5:J12" si="5">IF(L5&gt;O5, "Forage", IF(L5&lt;O5, "Random", "Equal"))</f>
        <v>Random</v>
      </c>
      <c r="K5" s="173"/>
      <c r="L5" s="180">
        <f>calculating_kappa_errors!K54</f>
        <v>6.6666666666666666E-2</v>
      </c>
      <c r="M5" s="180">
        <f>ROUND(calculating_kappa_errors!K54,2)</f>
        <v>7.0000000000000007E-2</v>
      </c>
      <c r="N5" s="180">
        <f>ROUND(calculating_kappa_errors!J54,2)</f>
        <v>0.09</v>
      </c>
      <c r="O5" s="180">
        <f>calculating_kappa_errors!K63</f>
        <v>6.7961165048543687E-2</v>
      </c>
      <c r="P5" s="180">
        <f>ROUND(calculating_kappa_errors!K63,2)</f>
        <v>7.0000000000000007E-2</v>
      </c>
      <c r="Q5" s="180">
        <f>ROUND(calculating_kappa_errors!J63,2)</f>
        <v>0.13</v>
      </c>
      <c r="R5" s="173">
        <v>56</v>
      </c>
      <c r="S5" s="173">
        <f>calculating_kappa_errors!D54</f>
        <v>0.125</v>
      </c>
      <c r="T5" s="181">
        <f t="shared" ref="T5:T12" si="6">ROUND(S5,3)*100</f>
        <v>12.5</v>
      </c>
      <c r="U5" s="173">
        <f t="shared" ref="U5:U12" si="7">SQRT((S5*(1-S5))/R5)</f>
        <v>4.4194173824159223E-2</v>
      </c>
      <c r="V5" s="173">
        <f t="shared" ref="V5:V12" si="8">ROUND(U5,3)*100</f>
        <v>4.3999999999999995</v>
      </c>
      <c r="W5" s="173">
        <v>56</v>
      </c>
      <c r="X5" s="173">
        <f>calculating_kappa_errors!D63</f>
        <v>0.25</v>
      </c>
      <c r="Y5" s="181">
        <f t="shared" ref="Y5:Y12" si="9">ROUND(X5,3)*100</f>
        <v>25</v>
      </c>
      <c r="Z5" s="173">
        <f t="shared" ref="Z5:Z12" si="10">SQRT((X5*(1-X5))/W5)</f>
        <v>5.7863756235784464E-2</v>
      </c>
      <c r="AA5" s="173">
        <f t="shared" ref="AA5:AA12" si="11">ROUND(Z5,3)*100</f>
        <v>5.8000000000000007</v>
      </c>
    </row>
    <row r="6" spans="1:27">
      <c r="A6" s="201"/>
      <c r="B6" s="202"/>
      <c r="C6" s="178" t="s">
        <v>106</v>
      </c>
      <c r="D6" s="214" t="str">
        <f t="shared" si="2"/>
        <v>90 (4)</v>
      </c>
      <c r="E6" s="215" t="str">
        <f t="shared" si="0"/>
        <v>0.7 (0.13)</v>
      </c>
      <c r="F6" s="215"/>
      <c r="G6" s="214" t="str">
        <f t="shared" si="3"/>
        <v>71.4 (6)</v>
      </c>
      <c r="H6" s="215" t="str">
        <f t="shared" si="1"/>
        <v>0.49 (0.11)</v>
      </c>
      <c r="I6" s="178" t="str">
        <f t="shared" si="4"/>
        <v>Forage</v>
      </c>
      <c r="J6" s="178" t="str">
        <f t="shared" si="5"/>
        <v>Forage</v>
      </c>
      <c r="K6" s="173"/>
      <c r="L6" s="180">
        <f>calculating_kappa_errors!K55</f>
        <v>0.70273483947681337</v>
      </c>
      <c r="M6" s="180">
        <f>ROUND(calculating_kappa_errors!K55,2)</f>
        <v>0.7</v>
      </c>
      <c r="N6" s="180">
        <f>ROUND(calculating_kappa_errors!J55,2)</f>
        <v>0.13</v>
      </c>
      <c r="O6" s="180">
        <f>calculating_kappa_errors!K64</f>
        <v>0.49447310243183495</v>
      </c>
      <c r="P6" s="180">
        <f>ROUND(calculating_kappa_errors!K64,2)</f>
        <v>0.49</v>
      </c>
      <c r="Q6" s="180">
        <f>ROUND(calculating_kappa_errors!J64,2)</f>
        <v>0.11</v>
      </c>
      <c r="R6" s="173">
        <v>57</v>
      </c>
      <c r="S6" s="173">
        <f>calculating_kappa_errors!D55</f>
        <v>0.9</v>
      </c>
      <c r="T6" s="181">
        <f t="shared" si="6"/>
        <v>90</v>
      </c>
      <c r="U6" s="173">
        <f t="shared" si="7"/>
        <v>3.9735970711951313E-2</v>
      </c>
      <c r="V6" s="173">
        <f t="shared" si="8"/>
        <v>4</v>
      </c>
      <c r="W6" s="173">
        <v>57</v>
      </c>
      <c r="X6" s="173">
        <f>calculating_kappa_errors!D64</f>
        <v>0.7142857142857143</v>
      </c>
      <c r="Y6" s="181">
        <f t="shared" si="9"/>
        <v>71.399999999999991</v>
      </c>
      <c r="Z6" s="173">
        <f t="shared" si="10"/>
        <v>5.9836272613099359E-2</v>
      </c>
      <c r="AA6" s="173">
        <f t="shared" si="11"/>
        <v>6</v>
      </c>
    </row>
    <row r="7" spans="1:27">
      <c r="A7" s="201" t="s">
        <v>161</v>
      </c>
      <c r="B7" s="202" t="s">
        <v>162</v>
      </c>
      <c r="C7" s="178" t="s">
        <v>97</v>
      </c>
      <c r="D7" s="214" t="str">
        <f t="shared" si="2"/>
        <v>5.5 (3)</v>
      </c>
      <c r="E7" s="215" t="str">
        <f t="shared" si="0"/>
        <v>-0.03 (0.03)</v>
      </c>
      <c r="F7" s="215"/>
      <c r="G7" s="214" t="str">
        <f t="shared" si="3"/>
        <v>7.3 (3.4)</v>
      </c>
      <c r="H7" s="215" t="str">
        <f t="shared" si="1"/>
        <v>-0.01 (0.04)</v>
      </c>
      <c r="I7" s="178" t="str">
        <f t="shared" si="4"/>
        <v>Random</v>
      </c>
      <c r="J7" s="178" t="str">
        <f t="shared" si="5"/>
        <v>Random</v>
      </c>
      <c r="K7" s="173"/>
      <c r="L7" s="180">
        <f>calculating_kappa_errors!K56</f>
        <v>-3.4358047016274866E-2</v>
      </c>
      <c r="M7" s="180">
        <f>ROUND(calculating_kappa_errors!K56,2)</f>
        <v>-0.03</v>
      </c>
      <c r="N7" s="180">
        <f>ROUND(calculating_kappa_errors!J56,2)</f>
        <v>0.03</v>
      </c>
      <c r="O7" s="180">
        <f>calculating_kappa_errors!K65</f>
        <v>-5.3763440860215084E-3</v>
      </c>
      <c r="P7" s="180">
        <f>ROUND(calculating_kappa_errors!K65,2)</f>
        <v>-0.01</v>
      </c>
      <c r="Q7" s="180">
        <f>ROUND(calculating_kappa_errors!J65,2)</f>
        <v>0.04</v>
      </c>
      <c r="R7" s="173">
        <v>58</v>
      </c>
      <c r="S7" s="173">
        <f>calculating_kappa_errors!D56</f>
        <v>5.4545454545454543E-2</v>
      </c>
      <c r="T7" s="181">
        <f t="shared" si="6"/>
        <v>5.5</v>
      </c>
      <c r="U7" s="173">
        <f t="shared" si="7"/>
        <v>2.9818487650392765E-2</v>
      </c>
      <c r="V7" s="173">
        <f t="shared" si="8"/>
        <v>3</v>
      </c>
      <c r="W7" s="173">
        <v>58</v>
      </c>
      <c r="X7" s="173">
        <f>calculating_kappa_errors!D65</f>
        <v>7.2727272727272724E-2</v>
      </c>
      <c r="Y7" s="181">
        <f t="shared" si="9"/>
        <v>7.3</v>
      </c>
      <c r="Z7" s="173">
        <f t="shared" si="10"/>
        <v>3.4098745180908205E-2</v>
      </c>
      <c r="AA7" s="173">
        <f t="shared" si="11"/>
        <v>3.4000000000000004</v>
      </c>
    </row>
    <row r="8" spans="1:27">
      <c r="A8" s="201"/>
      <c r="B8" s="202"/>
      <c r="C8" s="178" t="s">
        <v>105</v>
      </c>
      <c r="D8" s="214" t="str">
        <f t="shared" si="2"/>
        <v>6.3 (3.2)</v>
      </c>
      <c r="E8" s="215" t="str">
        <f t="shared" si="0"/>
        <v>0.02 (0.06)</v>
      </c>
      <c r="F8" s="215"/>
      <c r="G8" s="214" t="str">
        <f t="shared" si="3"/>
        <v>25 (5.6)</v>
      </c>
      <c r="H8" s="215" t="str">
        <f t="shared" si="1"/>
        <v>0.05 (0.14)</v>
      </c>
      <c r="I8" s="178" t="str">
        <f t="shared" si="4"/>
        <v>Random</v>
      </c>
      <c r="J8" s="178" t="str">
        <f t="shared" si="5"/>
        <v>Random</v>
      </c>
      <c r="K8" s="173"/>
      <c r="L8" s="180">
        <f>calculating_kappa_errors!K57</f>
        <v>2.4390243902439025E-2</v>
      </c>
      <c r="M8" s="180">
        <f>ROUND(calculating_kappa_errors!K57,2)</f>
        <v>0.02</v>
      </c>
      <c r="N8" s="180">
        <f>ROUND(calculating_kappa_errors!J57,2)</f>
        <v>0.06</v>
      </c>
      <c r="O8" s="180">
        <f>calculating_kappa_errors!K66</f>
        <v>4.9504950495049507E-2</v>
      </c>
      <c r="P8" s="180">
        <f>ROUND(calculating_kappa_errors!K66,2)</f>
        <v>0.05</v>
      </c>
      <c r="Q8" s="180">
        <f>ROUND(calculating_kappa_errors!J66,2)</f>
        <v>0.14000000000000001</v>
      </c>
      <c r="R8" s="173">
        <v>59</v>
      </c>
      <c r="S8" s="173">
        <f>calculating_kappa_errors!D57</f>
        <v>6.25E-2</v>
      </c>
      <c r="T8" s="181">
        <f t="shared" si="6"/>
        <v>6.3</v>
      </c>
      <c r="U8" s="173">
        <f t="shared" si="7"/>
        <v>3.1513717755600669E-2</v>
      </c>
      <c r="V8" s="173">
        <f t="shared" si="8"/>
        <v>3.2</v>
      </c>
      <c r="W8" s="173">
        <v>59</v>
      </c>
      <c r="X8" s="173">
        <f>calculating_kappa_errors!D66</f>
        <v>0.25</v>
      </c>
      <c r="Y8" s="181">
        <f t="shared" si="9"/>
        <v>25</v>
      </c>
      <c r="Z8" s="173">
        <f t="shared" si="10"/>
        <v>5.6373452100212162E-2</v>
      </c>
      <c r="AA8" s="173">
        <f t="shared" si="11"/>
        <v>5.6000000000000005</v>
      </c>
    </row>
    <row r="9" spans="1:27">
      <c r="A9" s="201"/>
      <c r="B9" s="202"/>
      <c r="C9" s="178" t="s">
        <v>106</v>
      </c>
      <c r="D9" s="214" t="str">
        <f t="shared" si="2"/>
        <v>92 (3.5)</v>
      </c>
      <c r="E9" s="215" t="str">
        <f t="shared" si="0"/>
        <v>0.76 (0.12)</v>
      </c>
      <c r="F9" s="215"/>
      <c r="G9" s="214" t="str">
        <f t="shared" si="3"/>
        <v>73.5 (5.7)</v>
      </c>
      <c r="H9" s="215" t="str">
        <f t="shared" si="1"/>
        <v>0.52 (0.11)</v>
      </c>
      <c r="I9" s="178" t="str">
        <f t="shared" si="4"/>
        <v>Forage</v>
      </c>
      <c r="J9" s="178" t="str">
        <f t="shared" si="5"/>
        <v>Forage</v>
      </c>
      <c r="K9" s="173"/>
      <c r="L9" s="180">
        <f>calculating_kappa_errors!K58</f>
        <v>0.75728155339805836</v>
      </c>
      <c r="M9" s="180">
        <f>ROUND(calculating_kappa_errors!K58,2)</f>
        <v>0.76</v>
      </c>
      <c r="N9" s="180">
        <f>ROUND(calculating_kappa_errors!J58,2)</f>
        <v>0.12</v>
      </c>
      <c r="O9" s="180">
        <f>calculating_kappa_errors!K67</f>
        <v>0.52462686567164196</v>
      </c>
      <c r="P9" s="180">
        <f>ROUND(calculating_kappa_errors!K67,2)</f>
        <v>0.52</v>
      </c>
      <c r="Q9" s="180">
        <f>ROUND(calculating_kappa_errors!J67,2)</f>
        <v>0.11</v>
      </c>
      <c r="R9" s="173">
        <v>60</v>
      </c>
      <c r="S9" s="173">
        <f>calculating_kappa_errors!D58</f>
        <v>0.92</v>
      </c>
      <c r="T9" s="181">
        <f t="shared" si="6"/>
        <v>92</v>
      </c>
      <c r="U9" s="173">
        <f t="shared" si="7"/>
        <v>3.5023801430836519E-2</v>
      </c>
      <c r="V9" s="173">
        <f t="shared" si="8"/>
        <v>3.5000000000000004</v>
      </c>
      <c r="W9" s="173">
        <v>60</v>
      </c>
      <c r="X9" s="173">
        <f>calculating_kappa_errors!D67</f>
        <v>0.73469387755102045</v>
      </c>
      <c r="Y9" s="181">
        <f t="shared" si="9"/>
        <v>73.5</v>
      </c>
      <c r="Z9" s="173">
        <f t="shared" si="10"/>
        <v>5.6996898137832409E-2</v>
      </c>
      <c r="AA9" s="173">
        <f t="shared" si="11"/>
        <v>5.7</v>
      </c>
    </row>
    <row r="10" spans="1:27">
      <c r="A10" s="201" t="s">
        <v>98</v>
      </c>
      <c r="B10" s="202" t="s">
        <v>158</v>
      </c>
      <c r="C10" s="178" t="s">
        <v>97</v>
      </c>
      <c r="D10" s="214" t="str">
        <f t="shared" si="2"/>
        <v>27.3 (5.7)</v>
      </c>
      <c r="E10" s="215" t="str">
        <f t="shared" si="0"/>
        <v>0.18 (0.07)</v>
      </c>
      <c r="F10" s="215"/>
      <c r="G10" s="214" t="str">
        <f t="shared" si="3"/>
        <v>49.1 (6.4)</v>
      </c>
      <c r="H10" s="215" t="str">
        <f t="shared" si="1"/>
        <v>0.4 (0.08)</v>
      </c>
      <c r="I10" s="178" t="str">
        <f t="shared" si="4"/>
        <v>Random</v>
      </c>
      <c r="J10" s="178" t="str">
        <f t="shared" si="5"/>
        <v>Random</v>
      </c>
      <c r="K10" s="173"/>
      <c r="L10" s="180">
        <f>calculating_kappa_errors!K59</f>
        <v>0.17541229385307344</v>
      </c>
      <c r="M10" s="180">
        <f>ROUND(calculating_kappa_errors!K59,2)</f>
        <v>0.18</v>
      </c>
      <c r="N10" s="180">
        <f>ROUND(calculating_kappa_errors!J59,2)</f>
        <v>7.0000000000000007E-2</v>
      </c>
      <c r="O10" s="180">
        <f>calculating_kappa_errors!K68</f>
        <v>0.39560439560439559</v>
      </c>
      <c r="P10" s="180">
        <f>ROUND(calculating_kappa_errors!K68,2)</f>
        <v>0.4</v>
      </c>
      <c r="Q10" s="180">
        <f>ROUND(calculating_kappa_errors!J68,2)</f>
        <v>0.08</v>
      </c>
      <c r="R10" s="173">
        <v>61</v>
      </c>
      <c r="S10" s="173">
        <f>calculating_kappa_errors!D59</f>
        <v>0.27272727272727271</v>
      </c>
      <c r="T10" s="181">
        <f t="shared" si="6"/>
        <v>27.3</v>
      </c>
      <c r="U10" s="173">
        <f t="shared" si="7"/>
        <v>5.7022731653380003E-2</v>
      </c>
      <c r="V10" s="173">
        <f t="shared" si="8"/>
        <v>5.7</v>
      </c>
      <c r="W10" s="173">
        <v>61</v>
      </c>
      <c r="X10" s="173">
        <f>calculating_kappa_errors!D68</f>
        <v>0.49090909090909091</v>
      </c>
      <c r="Y10" s="181">
        <f t="shared" si="9"/>
        <v>49.1</v>
      </c>
      <c r="Z10" s="173">
        <f t="shared" si="10"/>
        <v>6.4007857531469259E-2</v>
      </c>
      <c r="AA10" s="173">
        <f t="shared" si="11"/>
        <v>6.4</v>
      </c>
    </row>
    <row r="11" spans="1:27">
      <c r="A11" s="201"/>
      <c r="B11" s="202"/>
      <c r="C11" s="178" t="s">
        <v>105</v>
      </c>
      <c r="D11" s="214" t="str">
        <f t="shared" si="2"/>
        <v>93.8 (3.1)</v>
      </c>
      <c r="E11" s="215" t="str">
        <f t="shared" si="0"/>
        <v>0.86 (0.14)</v>
      </c>
      <c r="F11" s="215"/>
      <c r="G11" s="214" t="str">
        <f t="shared" si="3"/>
        <v>93.8 (3.1)</v>
      </c>
      <c r="H11" s="215" t="str">
        <f t="shared" si="1"/>
        <v>0.86 (0.13)</v>
      </c>
      <c r="I11" s="178" t="str">
        <f t="shared" si="4"/>
        <v>Equal</v>
      </c>
      <c r="J11" s="178" t="str">
        <f t="shared" si="5"/>
        <v>Random</v>
      </c>
      <c r="K11" s="173"/>
      <c r="L11" s="180">
        <f>calculating_kappa_errors!K60</f>
        <v>0.85964912280701755</v>
      </c>
      <c r="M11" s="180">
        <f>ROUND(calculating_kappa_errors!K60,2)</f>
        <v>0.86</v>
      </c>
      <c r="N11" s="180">
        <f>ROUND(calculating_kappa_errors!J60,2)</f>
        <v>0.14000000000000001</v>
      </c>
      <c r="O11" s="180">
        <f>calculating_kappa_errors!K69</f>
        <v>0.86440677966101698</v>
      </c>
      <c r="P11" s="180">
        <f>ROUND(calculating_kappa_errors!K69,2)</f>
        <v>0.86</v>
      </c>
      <c r="Q11" s="180">
        <f>ROUND(calculating_kappa_errors!J69,2)</f>
        <v>0.13</v>
      </c>
      <c r="R11" s="173">
        <v>62</v>
      </c>
      <c r="S11" s="173">
        <f>calculating_kappa_errors!D60</f>
        <v>0.9375</v>
      </c>
      <c r="T11" s="181">
        <f t="shared" si="6"/>
        <v>93.8</v>
      </c>
      <c r="U11" s="173">
        <f t="shared" si="7"/>
        <v>3.0741836052372795E-2</v>
      </c>
      <c r="V11" s="173">
        <f t="shared" si="8"/>
        <v>3.1</v>
      </c>
      <c r="W11" s="173">
        <v>62</v>
      </c>
      <c r="X11" s="173">
        <f>calculating_kappa_errors!D69</f>
        <v>0.9375</v>
      </c>
      <c r="Y11" s="181">
        <f t="shared" si="9"/>
        <v>93.8</v>
      </c>
      <c r="Z11" s="173">
        <f t="shared" si="10"/>
        <v>3.0741836052372795E-2</v>
      </c>
      <c r="AA11" s="173">
        <f t="shared" si="11"/>
        <v>3.1</v>
      </c>
    </row>
    <row r="12" spans="1:27">
      <c r="A12" s="203"/>
      <c r="B12" s="204"/>
      <c r="C12" s="182" t="s">
        <v>106</v>
      </c>
      <c r="D12" s="216" t="str">
        <f t="shared" si="2"/>
        <v>44 (6.3)</v>
      </c>
      <c r="E12" s="217" t="str">
        <f t="shared" si="0"/>
        <v>0.27 (0.09)</v>
      </c>
      <c r="F12" s="217"/>
      <c r="G12" s="216" t="str">
        <f t="shared" si="3"/>
        <v>69.4 (5.8)</v>
      </c>
      <c r="H12" s="217" t="str">
        <f t="shared" si="1"/>
        <v>0.54 (0.1)</v>
      </c>
      <c r="I12" s="182" t="str">
        <f t="shared" si="4"/>
        <v>Random</v>
      </c>
      <c r="J12" s="182" t="str">
        <f t="shared" si="5"/>
        <v>Random</v>
      </c>
      <c r="K12" s="173"/>
      <c r="L12" s="180">
        <f>calculating_kappa_errors!K61</f>
        <v>0.27385892116182575</v>
      </c>
      <c r="M12" s="180">
        <f>ROUND(calculating_kappa_errors!K61,2)</f>
        <v>0.27</v>
      </c>
      <c r="N12" s="180">
        <f>ROUND(calculating_kappa_errors!J61,2)</f>
        <v>0.09</v>
      </c>
      <c r="O12" s="180">
        <f>calculating_kappa_errors!K70</f>
        <v>0.5374449339207048</v>
      </c>
      <c r="P12" s="180">
        <f>ROUND(calculating_kappa_errors!K70,2)</f>
        <v>0.54</v>
      </c>
      <c r="Q12" s="180">
        <f>ROUND(calculating_kappa_errors!J70,2)</f>
        <v>0.1</v>
      </c>
      <c r="R12" s="173">
        <v>63</v>
      </c>
      <c r="S12" s="173">
        <f>calculating_kappa_errors!D61</f>
        <v>0.44</v>
      </c>
      <c r="T12" s="181">
        <f t="shared" si="6"/>
        <v>44</v>
      </c>
      <c r="U12" s="173">
        <f t="shared" si="7"/>
        <v>6.2538876797645734E-2</v>
      </c>
      <c r="V12" s="173">
        <f t="shared" si="8"/>
        <v>6.3</v>
      </c>
      <c r="W12" s="173">
        <v>63</v>
      </c>
      <c r="X12" s="173">
        <f>calculating_kappa_errors!D70</f>
        <v>0.69387755102040816</v>
      </c>
      <c r="Y12" s="181">
        <f t="shared" si="9"/>
        <v>69.399999999999991</v>
      </c>
      <c r="Z12" s="173">
        <f t="shared" si="10"/>
        <v>5.8065575301417517E-2</v>
      </c>
      <c r="AA12" s="173">
        <f t="shared" si="11"/>
        <v>5.8000000000000007</v>
      </c>
    </row>
  </sheetData>
  <mergeCells count="11">
    <mergeCell ref="L1:Q1"/>
    <mergeCell ref="R1:AA1"/>
    <mergeCell ref="D2:E2"/>
    <mergeCell ref="G2:H2"/>
    <mergeCell ref="A4:A6"/>
    <mergeCell ref="B4:B6"/>
    <mergeCell ref="A7:A9"/>
    <mergeCell ref="B7:B9"/>
    <mergeCell ref="A10:A12"/>
    <mergeCell ref="B10:B12"/>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04F87-5172-DA40-9CBA-F82233B960D2}">
  <dimension ref="A1:R121"/>
  <sheetViews>
    <sheetView zoomScaleNormal="100" workbookViewId="0">
      <selection activeCell="D10" sqref="D10:D13"/>
    </sheetView>
  </sheetViews>
  <sheetFormatPr baseColWidth="10" defaultRowHeight="16"/>
  <cols>
    <col min="2" max="2" width="19.5" bestFit="1" customWidth="1"/>
    <col min="4" max="4" width="18.6640625" bestFit="1" customWidth="1"/>
    <col min="5" max="5" width="21.83203125" bestFit="1" customWidth="1"/>
    <col min="17" max="17" width="16.6640625" bestFit="1" customWidth="1"/>
    <col min="18" max="18" width="19" bestFit="1" customWidth="1"/>
  </cols>
  <sheetData>
    <row r="1" spans="1:18" s="96" customFormat="1">
      <c r="A1" s="96" t="s">
        <v>87</v>
      </c>
      <c r="B1" s="96" t="s">
        <v>88</v>
      </c>
      <c r="C1" s="96" t="s">
        <v>89</v>
      </c>
      <c r="D1" s="96" t="s">
        <v>148</v>
      </c>
      <c r="E1" s="96" t="s">
        <v>187</v>
      </c>
    </row>
    <row r="2" spans="1:18">
      <c r="A2" t="s">
        <v>97</v>
      </c>
      <c r="B2" t="s">
        <v>98</v>
      </c>
      <c r="C2">
        <v>0</v>
      </c>
      <c r="D2" s="61">
        <f>calculating_kappa_errors!D3</f>
        <v>0.23636363636363636</v>
      </c>
      <c r="E2" s="98">
        <f t="shared" ref="E2:E13" si="0">D2*100</f>
        <v>23.636363636363637</v>
      </c>
      <c r="Q2" t="s">
        <v>188</v>
      </c>
      <c r="R2" t="s">
        <v>189</v>
      </c>
    </row>
    <row r="3" spans="1:18">
      <c r="A3" t="s">
        <v>97</v>
      </c>
      <c r="B3" t="s">
        <v>98</v>
      </c>
      <c r="C3">
        <v>100</v>
      </c>
      <c r="D3" s="61">
        <f>calculating_kappa_errors!D4</f>
        <v>0.23636363636363636</v>
      </c>
      <c r="E3" s="98">
        <f t="shared" si="0"/>
        <v>23.636363636363637</v>
      </c>
      <c r="Q3" t="s">
        <v>190</v>
      </c>
      <c r="R3" t="s">
        <v>191</v>
      </c>
    </row>
    <row r="4" spans="1:18">
      <c r="A4" t="s">
        <v>97</v>
      </c>
      <c r="B4" t="s">
        <v>98</v>
      </c>
      <c r="C4">
        <v>1000</v>
      </c>
      <c r="D4" s="61">
        <f>calculating_kappa_errors!D5</f>
        <v>0.2</v>
      </c>
      <c r="E4" s="98">
        <f t="shared" si="0"/>
        <v>20</v>
      </c>
      <c r="Q4" t="s">
        <v>192</v>
      </c>
      <c r="R4" t="s">
        <v>98</v>
      </c>
    </row>
    <row r="5" spans="1:18">
      <c r="A5" t="s">
        <v>97</v>
      </c>
      <c r="B5" t="s">
        <v>98</v>
      </c>
      <c r="C5">
        <v>5000</v>
      </c>
      <c r="D5" s="61">
        <f>calculating_kappa_errors!D6</f>
        <v>5.4545454545454543E-2</v>
      </c>
      <c r="E5" s="98">
        <f t="shared" si="0"/>
        <v>5.4545454545454541</v>
      </c>
    </row>
    <row r="6" spans="1:18">
      <c r="A6" t="s">
        <v>97</v>
      </c>
      <c r="B6" t="s">
        <v>103</v>
      </c>
      <c r="C6">
        <v>0</v>
      </c>
      <c r="D6" s="61">
        <f>calculating_kappa_errors!D7</f>
        <v>6.363636363636363E-2</v>
      </c>
      <c r="E6" s="98">
        <f t="shared" si="0"/>
        <v>6.3636363636363633</v>
      </c>
      <c r="Q6" t="s">
        <v>193</v>
      </c>
      <c r="R6" t="s">
        <v>189</v>
      </c>
    </row>
    <row r="7" spans="1:18">
      <c r="A7" t="s">
        <v>97</v>
      </c>
      <c r="B7" t="s">
        <v>103</v>
      </c>
      <c r="C7">
        <v>100</v>
      </c>
      <c r="D7" s="61">
        <f>calculating_kappa_errors!D8</f>
        <v>6.363636363636363E-2</v>
      </c>
      <c r="E7" s="98">
        <f t="shared" si="0"/>
        <v>6.3636363636363633</v>
      </c>
      <c r="Q7" t="s">
        <v>194</v>
      </c>
      <c r="R7" t="s">
        <v>191</v>
      </c>
    </row>
    <row r="8" spans="1:18">
      <c r="A8" t="s">
        <v>97</v>
      </c>
      <c r="B8" t="s">
        <v>103</v>
      </c>
      <c r="C8">
        <v>1000</v>
      </c>
      <c r="D8" s="61">
        <f>calculating_kappa_errors!D9</f>
        <v>5.4545454545454543E-2</v>
      </c>
      <c r="E8" s="98">
        <f t="shared" si="0"/>
        <v>5.4545454545454541</v>
      </c>
      <c r="Q8" t="s">
        <v>195</v>
      </c>
      <c r="R8" t="s">
        <v>98</v>
      </c>
    </row>
    <row r="9" spans="1:18">
      <c r="A9" t="s">
        <v>97</v>
      </c>
      <c r="B9" t="s">
        <v>103</v>
      </c>
      <c r="C9">
        <v>5000</v>
      </c>
      <c r="D9" s="61">
        <f>calculating_kappa_errors!D10</f>
        <v>6.363636363636363E-2</v>
      </c>
      <c r="E9" s="98">
        <f t="shared" si="0"/>
        <v>6.3636363636363633</v>
      </c>
    </row>
    <row r="10" spans="1:18">
      <c r="A10" t="s">
        <v>97</v>
      </c>
      <c r="B10" t="s">
        <v>104</v>
      </c>
      <c r="C10">
        <v>0</v>
      </c>
      <c r="D10" s="61">
        <f>calculating_kappa_errors!D11</f>
        <v>4.5454545454545456E-2</v>
      </c>
      <c r="E10" s="98">
        <f t="shared" si="0"/>
        <v>4.5454545454545459</v>
      </c>
    </row>
    <row r="11" spans="1:18">
      <c r="A11" t="s">
        <v>97</v>
      </c>
      <c r="B11" t="s">
        <v>104</v>
      </c>
      <c r="C11">
        <v>100</v>
      </c>
      <c r="D11" s="61">
        <f>calculating_kappa_errors!D12</f>
        <v>6.363636363636363E-2</v>
      </c>
      <c r="E11" s="98">
        <f t="shared" si="0"/>
        <v>6.3636363636363633</v>
      </c>
    </row>
    <row r="12" spans="1:18">
      <c r="A12" t="s">
        <v>97</v>
      </c>
      <c r="B12" t="s">
        <v>104</v>
      </c>
      <c r="C12">
        <v>1000</v>
      </c>
      <c r="D12" s="61">
        <f>calculating_kappa_errors!D13</f>
        <v>5.4545454545454543E-2</v>
      </c>
      <c r="E12" s="98">
        <f t="shared" si="0"/>
        <v>5.4545454545454541</v>
      </c>
    </row>
    <row r="13" spans="1:18">
      <c r="A13" t="s">
        <v>97</v>
      </c>
      <c r="B13" t="s">
        <v>104</v>
      </c>
      <c r="C13">
        <v>5000</v>
      </c>
      <c r="D13" s="61">
        <f>calculating_kappa_errors!D14</f>
        <v>6.363636363636363E-2</v>
      </c>
      <c r="E13" s="98">
        <f t="shared" si="0"/>
        <v>6.3636363636363633</v>
      </c>
    </row>
    <row r="37" spans="1:18">
      <c r="A37" s="96" t="s">
        <v>87</v>
      </c>
      <c r="B37" s="96" t="s">
        <v>88</v>
      </c>
      <c r="C37" s="96" t="s">
        <v>89</v>
      </c>
      <c r="D37" s="96" t="s">
        <v>148</v>
      </c>
      <c r="E37" s="96" t="s">
        <v>34</v>
      </c>
    </row>
    <row r="38" spans="1:18">
      <c r="A38" t="s">
        <v>105</v>
      </c>
      <c r="B38" t="s">
        <v>98</v>
      </c>
      <c r="C38">
        <v>0</v>
      </c>
      <c r="D38" s="61">
        <f>calculating_kappa_errors!D15</f>
        <v>0.9375</v>
      </c>
      <c r="E38" s="98">
        <f>D38*100</f>
        <v>93.75</v>
      </c>
      <c r="Q38" t="s">
        <v>188</v>
      </c>
      <c r="R38" t="s">
        <v>189</v>
      </c>
    </row>
    <row r="39" spans="1:18">
      <c r="A39" t="s">
        <v>105</v>
      </c>
      <c r="B39" t="s">
        <v>98</v>
      </c>
      <c r="C39">
        <v>100</v>
      </c>
      <c r="D39" s="61">
        <f>calculating_kappa_errors!D16</f>
        <v>0.8125</v>
      </c>
      <c r="E39" s="98">
        <f t="shared" ref="E39:E49" si="1">D39*100</f>
        <v>81.25</v>
      </c>
      <c r="Q39" t="s">
        <v>190</v>
      </c>
      <c r="R39" t="s">
        <v>191</v>
      </c>
    </row>
    <row r="40" spans="1:18">
      <c r="A40" t="s">
        <v>105</v>
      </c>
      <c r="B40" t="s">
        <v>98</v>
      </c>
      <c r="C40">
        <v>1000</v>
      </c>
      <c r="D40" s="61">
        <f>calculating_kappa_errors!D17</f>
        <v>0.8125</v>
      </c>
      <c r="E40" s="98">
        <f t="shared" si="1"/>
        <v>81.25</v>
      </c>
      <c r="Q40" t="s">
        <v>192</v>
      </c>
      <c r="R40" t="s">
        <v>98</v>
      </c>
    </row>
    <row r="41" spans="1:18">
      <c r="A41" t="s">
        <v>105</v>
      </c>
      <c r="B41" t="s">
        <v>98</v>
      </c>
      <c r="C41">
        <v>5000</v>
      </c>
      <c r="D41" s="61">
        <f>calculating_kappa_errors!D18</f>
        <v>0.8125</v>
      </c>
      <c r="E41" s="98">
        <f t="shared" si="1"/>
        <v>81.25</v>
      </c>
    </row>
    <row r="42" spans="1:18">
      <c r="A42" t="s">
        <v>105</v>
      </c>
      <c r="B42" t="s">
        <v>103</v>
      </c>
      <c r="C42">
        <v>0</v>
      </c>
      <c r="D42" s="61">
        <f>calculating_kappa_errors!D19</f>
        <v>0.1875</v>
      </c>
      <c r="E42" s="98">
        <f t="shared" si="1"/>
        <v>18.75</v>
      </c>
      <c r="Q42" t="s">
        <v>193</v>
      </c>
      <c r="R42" t="s">
        <v>189</v>
      </c>
    </row>
    <row r="43" spans="1:18">
      <c r="A43" t="s">
        <v>105</v>
      </c>
      <c r="B43" t="s">
        <v>103</v>
      </c>
      <c r="C43">
        <v>100</v>
      </c>
      <c r="D43" s="61">
        <f>calculating_kappa_errors!D20</f>
        <v>9.375E-2</v>
      </c>
      <c r="E43" s="98">
        <f t="shared" si="1"/>
        <v>9.375</v>
      </c>
      <c r="Q43" t="s">
        <v>194</v>
      </c>
      <c r="R43" t="s">
        <v>191</v>
      </c>
    </row>
    <row r="44" spans="1:18">
      <c r="A44" t="s">
        <v>105</v>
      </c>
      <c r="B44" t="s">
        <v>103</v>
      </c>
      <c r="C44">
        <v>1000</v>
      </c>
      <c r="D44" s="61">
        <f>calculating_kappa_errors!D21</f>
        <v>0.125</v>
      </c>
      <c r="E44" s="98">
        <f t="shared" si="1"/>
        <v>12.5</v>
      </c>
      <c r="Q44" t="s">
        <v>195</v>
      </c>
      <c r="R44" t="s">
        <v>98</v>
      </c>
    </row>
    <row r="45" spans="1:18">
      <c r="A45" t="s">
        <v>105</v>
      </c>
      <c r="B45" t="s">
        <v>103</v>
      </c>
      <c r="C45">
        <v>5000</v>
      </c>
      <c r="D45" s="61">
        <f>calculating_kappa_errors!D22</f>
        <v>0.40625</v>
      </c>
      <c r="E45" s="98">
        <f t="shared" si="1"/>
        <v>40.625</v>
      </c>
    </row>
    <row r="46" spans="1:18">
      <c r="A46" t="s">
        <v>105</v>
      </c>
      <c r="B46" t="s">
        <v>104</v>
      </c>
      <c r="C46">
        <v>0</v>
      </c>
      <c r="D46" s="61">
        <f>calculating_kappa_errors!D23</f>
        <v>0.15625</v>
      </c>
      <c r="E46" s="98">
        <f t="shared" si="1"/>
        <v>15.625</v>
      </c>
    </row>
    <row r="47" spans="1:18">
      <c r="A47" t="s">
        <v>105</v>
      </c>
      <c r="B47" t="s">
        <v>104</v>
      </c>
      <c r="C47">
        <v>100</v>
      </c>
      <c r="D47" s="61">
        <f>calculating_kappa_errors!D24</f>
        <v>0.125</v>
      </c>
      <c r="E47" s="98">
        <f t="shared" si="1"/>
        <v>12.5</v>
      </c>
    </row>
    <row r="48" spans="1:18">
      <c r="A48" t="s">
        <v>105</v>
      </c>
      <c r="B48" t="s">
        <v>104</v>
      </c>
      <c r="C48">
        <v>1000</v>
      </c>
      <c r="D48" s="61">
        <f>calculating_kappa_errors!D25</f>
        <v>0.15625</v>
      </c>
      <c r="E48" s="98">
        <f t="shared" si="1"/>
        <v>15.625</v>
      </c>
    </row>
    <row r="49" spans="1:5">
      <c r="A49" t="s">
        <v>105</v>
      </c>
      <c r="B49" t="s">
        <v>104</v>
      </c>
      <c r="C49">
        <v>5000</v>
      </c>
      <c r="D49" s="61">
        <f>calculating_kappa_errors!D26</f>
        <v>0.125</v>
      </c>
      <c r="E49" s="98">
        <f t="shared" si="1"/>
        <v>12.5</v>
      </c>
    </row>
    <row r="73" spans="1:18">
      <c r="A73" s="96" t="s">
        <v>87</v>
      </c>
      <c r="B73" s="96" t="s">
        <v>88</v>
      </c>
      <c r="C73" s="96" t="s">
        <v>89</v>
      </c>
      <c r="D73" s="96" t="s">
        <v>148</v>
      </c>
      <c r="E73" s="96" t="s">
        <v>34</v>
      </c>
    </row>
    <row r="74" spans="1:18">
      <c r="A74" t="s">
        <v>106</v>
      </c>
      <c r="B74" t="s">
        <v>98</v>
      </c>
      <c r="C74">
        <v>0</v>
      </c>
      <c r="D74">
        <f>calculating_kappa_errors!D27</f>
        <v>0.61616161616161613</v>
      </c>
      <c r="E74" s="98">
        <f>D74*100</f>
        <v>61.616161616161612</v>
      </c>
      <c r="Q74" t="s">
        <v>188</v>
      </c>
      <c r="R74" t="s">
        <v>189</v>
      </c>
    </row>
    <row r="75" spans="1:18">
      <c r="A75" t="s">
        <v>106</v>
      </c>
      <c r="B75" t="s">
        <v>98</v>
      </c>
      <c r="C75">
        <v>100</v>
      </c>
      <c r="D75">
        <f>calculating_kappa_errors!D28</f>
        <v>0.5252525252525253</v>
      </c>
      <c r="E75" s="98">
        <f t="shared" ref="E75:E85" si="2">D75*100</f>
        <v>52.525252525252533</v>
      </c>
      <c r="Q75" t="s">
        <v>190</v>
      </c>
      <c r="R75" t="s">
        <v>191</v>
      </c>
    </row>
    <row r="76" spans="1:18">
      <c r="A76" t="s">
        <v>106</v>
      </c>
      <c r="B76" t="s">
        <v>98</v>
      </c>
      <c r="C76">
        <v>1000</v>
      </c>
      <c r="D76">
        <f>calculating_kappa_errors!D29</f>
        <v>0.34343434343434343</v>
      </c>
      <c r="E76" s="98">
        <f t="shared" si="2"/>
        <v>34.343434343434339</v>
      </c>
      <c r="Q76" t="s">
        <v>192</v>
      </c>
      <c r="R76" t="s">
        <v>98</v>
      </c>
    </row>
    <row r="77" spans="1:18">
      <c r="A77" t="s">
        <v>106</v>
      </c>
      <c r="B77" t="s">
        <v>98</v>
      </c>
      <c r="C77">
        <v>5000</v>
      </c>
      <c r="D77">
        <f>calculating_kappa_errors!D30</f>
        <v>0.22222222222222221</v>
      </c>
      <c r="E77" s="98">
        <f t="shared" si="2"/>
        <v>22.222222222222221</v>
      </c>
    </row>
    <row r="78" spans="1:18">
      <c r="A78" t="s">
        <v>106</v>
      </c>
      <c r="B78" t="s">
        <v>103</v>
      </c>
      <c r="C78">
        <v>0</v>
      </c>
      <c r="D78">
        <f>calculating_kappa_errors!D31</f>
        <v>0.82828282828282829</v>
      </c>
      <c r="E78" s="98">
        <f t="shared" si="2"/>
        <v>82.828282828282823</v>
      </c>
      <c r="Q78" t="s">
        <v>193</v>
      </c>
      <c r="R78" t="s">
        <v>189</v>
      </c>
    </row>
    <row r="79" spans="1:18">
      <c r="A79" t="s">
        <v>106</v>
      </c>
      <c r="B79" t="s">
        <v>103</v>
      </c>
      <c r="C79">
        <v>100</v>
      </c>
      <c r="D79">
        <f>calculating_kappa_errors!D32</f>
        <v>0.77777777777777779</v>
      </c>
      <c r="E79" s="98">
        <f t="shared" si="2"/>
        <v>77.777777777777786</v>
      </c>
      <c r="Q79" t="s">
        <v>194</v>
      </c>
      <c r="R79" t="s">
        <v>191</v>
      </c>
    </row>
    <row r="80" spans="1:18">
      <c r="A80" t="s">
        <v>106</v>
      </c>
      <c r="B80" t="s">
        <v>103</v>
      </c>
      <c r="C80">
        <v>1000</v>
      </c>
      <c r="D80">
        <f>calculating_kappa_errors!D33</f>
        <v>0.76767676767676762</v>
      </c>
      <c r="E80" s="98">
        <f t="shared" si="2"/>
        <v>76.767676767676761</v>
      </c>
      <c r="Q80" t="s">
        <v>195</v>
      </c>
      <c r="R80" t="s">
        <v>98</v>
      </c>
    </row>
    <row r="81" spans="1:5">
      <c r="A81" t="s">
        <v>106</v>
      </c>
      <c r="B81" t="s">
        <v>103</v>
      </c>
      <c r="C81">
        <v>5000</v>
      </c>
      <c r="D81">
        <f>calculating_kappa_errors!D34</f>
        <v>0.6262626262626263</v>
      </c>
      <c r="E81" s="98">
        <f t="shared" si="2"/>
        <v>62.62626262626263</v>
      </c>
    </row>
    <row r="82" spans="1:5">
      <c r="A82" t="s">
        <v>106</v>
      </c>
      <c r="B82" t="s">
        <v>104</v>
      </c>
      <c r="C82">
        <v>0</v>
      </c>
      <c r="D82">
        <f>calculating_kappa_errors!D35</f>
        <v>0.81818181818181823</v>
      </c>
      <c r="E82" s="98">
        <f t="shared" si="2"/>
        <v>81.818181818181827</v>
      </c>
    </row>
    <row r="83" spans="1:5">
      <c r="A83" t="s">
        <v>106</v>
      </c>
      <c r="B83" t="s">
        <v>104</v>
      </c>
      <c r="C83">
        <v>100</v>
      </c>
      <c r="D83">
        <f>calculating_kappa_errors!D36</f>
        <v>0.76767676767676762</v>
      </c>
      <c r="E83" s="98">
        <f t="shared" si="2"/>
        <v>76.767676767676761</v>
      </c>
    </row>
    <row r="84" spans="1:5">
      <c r="A84" t="s">
        <v>106</v>
      </c>
      <c r="B84" t="s">
        <v>104</v>
      </c>
      <c r="C84">
        <v>1000</v>
      </c>
      <c r="D84">
        <f>calculating_kappa_errors!D37</f>
        <v>0.76767676767676762</v>
      </c>
      <c r="E84" s="98">
        <f t="shared" si="2"/>
        <v>76.767676767676761</v>
      </c>
    </row>
    <row r="85" spans="1:5">
      <c r="A85" t="s">
        <v>106</v>
      </c>
      <c r="B85" t="s">
        <v>104</v>
      </c>
      <c r="C85">
        <v>5000</v>
      </c>
      <c r="D85">
        <f>calculating_kappa_errors!D38</f>
        <v>0.6262626262626263</v>
      </c>
      <c r="E85" s="98">
        <f t="shared" si="2"/>
        <v>62.62626262626263</v>
      </c>
    </row>
    <row r="109" spans="1:18">
      <c r="A109" s="96" t="s">
        <v>87</v>
      </c>
      <c r="B109" s="96" t="s">
        <v>88</v>
      </c>
      <c r="C109" s="96" t="s">
        <v>89</v>
      </c>
      <c r="D109" s="96" t="s">
        <v>148</v>
      </c>
      <c r="E109" s="96" t="s">
        <v>34</v>
      </c>
    </row>
    <row r="110" spans="1:18">
      <c r="A110" t="s">
        <v>107</v>
      </c>
      <c r="B110" t="s">
        <v>98</v>
      </c>
      <c r="C110">
        <v>0</v>
      </c>
      <c r="D110">
        <f>calculating_kappa_errors!D39</f>
        <v>0</v>
      </c>
      <c r="E110" s="98">
        <f>D110*100</f>
        <v>0</v>
      </c>
      <c r="Q110" t="s">
        <v>188</v>
      </c>
      <c r="R110" t="s">
        <v>189</v>
      </c>
    </row>
    <row r="111" spans="1:18">
      <c r="A111" t="s">
        <v>107</v>
      </c>
      <c r="B111" t="s">
        <v>98</v>
      </c>
      <c r="C111">
        <v>100</v>
      </c>
      <c r="D111">
        <f>calculating_kappa_errors!D40</f>
        <v>0.48780487804878048</v>
      </c>
      <c r="E111" s="98">
        <f t="shared" ref="E111:E121" si="3">D111*100</f>
        <v>48.780487804878049</v>
      </c>
      <c r="Q111" t="s">
        <v>190</v>
      </c>
      <c r="R111" t="s">
        <v>191</v>
      </c>
    </row>
    <row r="112" spans="1:18">
      <c r="A112" t="s">
        <v>107</v>
      </c>
      <c r="B112" t="s">
        <v>98</v>
      </c>
      <c r="C112">
        <v>1000</v>
      </c>
      <c r="D112">
        <f>calculating_kappa_errors!D41</f>
        <v>0.53658536585365857</v>
      </c>
      <c r="E112" s="98">
        <f t="shared" si="3"/>
        <v>53.658536585365859</v>
      </c>
      <c r="Q112" t="s">
        <v>192</v>
      </c>
      <c r="R112" t="s">
        <v>98</v>
      </c>
    </row>
    <row r="113" spans="1:18">
      <c r="A113" t="s">
        <v>107</v>
      </c>
      <c r="B113" t="s">
        <v>98</v>
      </c>
      <c r="C113">
        <v>5000</v>
      </c>
      <c r="D113">
        <f>calculating_kappa_errors!D42</f>
        <v>0.53658536585365857</v>
      </c>
      <c r="E113" s="98">
        <f t="shared" si="3"/>
        <v>53.658536585365859</v>
      </c>
    </row>
    <row r="114" spans="1:18">
      <c r="A114" t="s">
        <v>107</v>
      </c>
      <c r="B114" t="s">
        <v>103</v>
      </c>
      <c r="C114">
        <v>0</v>
      </c>
      <c r="D114">
        <f>calculating_kappa_errors!D43</f>
        <v>0.58536585365853655</v>
      </c>
      <c r="E114" s="98">
        <f t="shared" si="3"/>
        <v>58.536585365853654</v>
      </c>
      <c r="Q114" t="s">
        <v>193</v>
      </c>
      <c r="R114" t="s">
        <v>189</v>
      </c>
    </row>
    <row r="115" spans="1:18">
      <c r="A115" t="s">
        <v>107</v>
      </c>
      <c r="B115" t="s">
        <v>103</v>
      </c>
      <c r="C115">
        <v>100</v>
      </c>
      <c r="D115">
        <f>calculating_kappa_errors!D44</f>
        <v>0.68292682926829273</v>
      </c>
      <c r="E115" s="98">
        <f t="shared" si="3"/>
        <v>68.292682926829272</v>
      </c>
      <c r="Q115" t="s">
        <v>194</v>
      </c>
      <c r="R115" t="s">
        <v>191</v>
      </c>
    </row>
    <row r="116" spans="1:18">
      <c r="A116" t="s">
        <v>107</v>
      </c>
      <c r="B116" t="s">
        <v>103</v>
      </c>
      <c r="C116">
        <v>1000</v>
      </c>
      <c r="D116">
        <f>calculating_kappa_errors!D45</f>
        <v>0.73170731707317072</v>
      </c>
      <c r="E116" s="98">
        <f t="shared" si="3"/>
        <v>73.170731707317074</v>
      </c>
      <c r="Q116" t="s">
        <v>195</v>
      </c>
      <c r="R116" t="s">
        <v>98</v>
      </c>
    </row>
    <row r="117" spans="1:18">
      <c r="A117" t="s">
        <v>107</v>
      </c>
      <c r="B117" t="s">
        <v>103</v>
      </c>
      <c r="C117">
        <v>5000</v>
      </c>
      <c r="D117">
        <f>calculating_kappa_errors!D46</f>
        <v>0.95121951219512191</v>
      </c>
      <c r="E117" s="98">
        <f t="shared" si="3"/>
        <v>95.121951219512198</v>
      </c>
    </row>
    <row r="118" spans="1:18">
      <c r="A118" t="s">
        <v>107</v>
      </c>
      <c r="B118" t="s">
        <v>104</v>
      </c>
      <c r="C118">
        <v>0</v>
      </c>
      <c r="D118">
        <f>calculating_kappa_errors!D47</f>
        <v>0.6097560975609756</v>
      </c>
      <c r="E118" s="98">
        <f t="shared" si="3"/>
        <v>60.975609756097562</v>
      </c>
    </row>
    <row r="119" spans="1:18">
      <c r="A119" t="s">
        <v>107</v>
      </c>
      <c r="B119" t="s">
        <v>104</v>
      </c>
      <c r="C119">
        <v>100</v>
      </c>
      <c r="D119">
        <f>calculating_kappa_errors!D48</f>
        <v>0.65853658536585369</v>
      </c>
      <c r="E119" s="98">
        <f t="shared" si="3"/>
        <v>65.853658536585371</v>
      </c>
    </row>
    <row r="120" spans="1:18">
      <c r="A120" t="s">
        <v>107</v>
      </c>
      <c r="B120" t="s">
        <v>104</v>
      </c>
      <c r="C120">
        <v>1000</v>
      </c>
      <c r="D120">
        <f>calculating_kappa_errors!D49</f>
        <v>0.78048780487804881</v>
      </c>
      <c r="E120" s="98">
        <f t="shared" si="3"/>
        <v>78.048780487804876</v>
      </c>
    </row>
    <row r="121" spans="1:18">
      <c r="A121" t="s">
        <v>107</v>
      </c>
      <c r="B121" t="s">
        <v>104</v>
      </c>
      <c r="C121">
        <v>5000</v>
      </c>
      <c r="D121" s="98">
        <f>calculating_kappa_errors!D50</f>
        <v>1</v>
      </c>
      <c r="E121" s="98">
        <f t="shared" si="3"/>
        <v>100</v>
      </c>
    </row>
  </sheetData>
  <pageMargins left="0.75" right="0.75" top="1" bottom="1" header="0.5" footer="0.5"/>
  <pageSetup orientation="portrait"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E5E22-6E37-5D49-88E2-890F6189318C}">
  <dimension ref="A1:P26"/>
  <sheetViews>
    <sheetView workbookViewId="0">
      <selection activeCell="H14" sqref="H14:H16"/>
    </sheetView>
  </sheetViews>
  <sheetFormatPr baseColWidth="10" defaultRowHeight="16"/>
  <cols>
    <col min="1" max="1" width="13.1640625" style="173" bestFit="1" customWidth="1"/>
    <col min="2" max="2" width="13" style="173" bestFit="1" customWidth="1"/>
    <col min="3" max="3" width="13" style="173" customWidth="1"/>
    <col min="4" max="4" width="13.5" style="173" bestFit="1" customWidth="1"/>
    <col min="5" max="9" width="10.83203125" style="173"/>
    <col min="10" max="10" width="41.6640625" style="173" bestFit="1" customWidth="1"/>
    <col min="11" max="11" width="12.83203125" style="173" bestFit="1" customWidth="1"/>
    <col min="12" max="12" width="10.83203125" style="173"/>
    <col min="13" max="13" width="13.5" style="173" bestFit="1" customWidth="1"/>
    <col min="14" max="14" width="10.33203125" style="173" bestFit="1" customWidth="1"/>
    <col min="15" max="15" width="12.6640625" style="173" bestFit="1" customWidth="1"/>
    <col min="16" max="16" width="10.5" style="179" bestFit="1" customWidth="1"/>
    <col min="17" max="17" width="17.1640625" style="173" bestFit="1" customWidth="1"/>
    <col min="18" max="16384" width="10.83203125" style="173"/>
  </cols>
  <sheetData>
    <row r="1" spans="1:16" s="184" customFormat="1">
      <c r="A1" s="183" t="s">
        <v>87</v>
      </c>
      <c r="B1" s="183" t="s">
        <v>88</v>
      </c>
      <c r="C1" s="183" t="s">
        <v>196</v>
      </c>
      <c r="D1" s="183" t="s">
        <v>197</v>
      </c>
      <c r="E1" s="183" t="s">
        <v>198</v>
      </c>
      <c r="F1" s="183" t="s">
        <v>199</v>
      </c>
      <c r="G1" s="183" t="s">
        <v>133</v>
      </c>
      <c r="H1" s="183" t="s">
        <v>200</v>
      </c>
      <c r="P1" s="185"/>
    </row>
    <row r="2" spans="1:16">
      <c r="A2" s="186" t="s">
        <v>97</v>
      </c>
      <c r="B2" s="186" t="s">
        <v>98</v>
      </c>
      <c r="C2" s="186" t="s">
        <v>201</v>
      </c>
      <c r="D2" s="186" t="s">
        <v>202</v>
      </c>
      <c r="E2" s="186">
        <v>-73.539000000000001</v>
      </c>
      <c r="F2" s="186">
        <v>1.8489999999999999E-4</v>
      </c>
      <c r="G2" s="186">
        <v>2</v>
      </c>
      <c r="H2" s="186" t="str">
        <f>IF(F2&lt;0.05,"YES","NO")</f>
        <v>YES</v>
      </c>
    </row>
    <row r="3" spans="1:16">
      <c r="A3" s="186" t="s">
        <v>97</v>
      </c>
      <c r="B3" s="186" t="s">
        <v>203</v>
      </c>
      <c r="C3" s="186" t="s">
        <v>204</v>
      </c>
      <c r="D3" s="186" t="s">
        <v>205</v>
      </c>
      <c r="E3" s="186">
        <v>12.582000000000001</v>
      </c>
      <c r="F3" s="186">
        <v>0.74180000000000001</v>
      </c>
      <c r="G3" s="186">
        <v>2</v>
      </c>
      <c r="H3" s="186" t="str">
        <f t="shared" ref="H3:H4" si="0">IF(F3&lt;0.05,"YES","NO")</f>
        <v>NO</v>
      </c>
    </row>
    <row r="4" spans="1:16">
      <c r="A4" s="186" t="s">
        <v>97</v>
      </c>
      <c r="B4" s="186" t="s">
        <v>206</v>
      </c>
      <c r="C4" s="186" t="s">
        <v>201</v>
      </c>
      <c r="D4" s="186" t="s">
        <v>202</v>
      </c>
      <c r="E4" s="186">
        <v>0.87790999999999997</v>
      </c>
      <c r="F4" s="186">
        <v>0.47260000000000002</v>
      </c>
      <c r="G4" s="186">
        <v>2</v>
      </c>
      <c r="H4" s="186" t="str">
        <f t="shared" si="0"/>
        <v>NO</v>
      </c>
    </row>
    <row r="5" spans="1:16">
      <c r="A5" s="186"/>
      <c r="B5" s="186"/>
      <c r="C5" s="186"/>
      <c r="D5" s="186"/>
      <c r="E5" s="186"/>
      <c r="F5" s="186"/>
      <c r="G5" s="186"/>
      <c r="H5" s="186"/>
    </row>
    <row r="6" spans="1:16">
      <c r="A6" s="186" t="s">
        <v>105</v>
      </c>
      <c r="B6" s="186" t="s">
        <v>98</v>
      </c>
      <c r="C6" s="186" t="s">
        <v>204</v>
      </c>
      <c r="D6" s="186" t="s">
        <v>205</v>
      </c>
      <c r="E6" s="186">
        <v>17.745999999999999</v>
      </c>
      <c r="F6" s="186">
        <v>0.22539999999999999</v>
      </c>
      <c r="G6" s="186">
        <v>2</v>
      </c>
      <c r="H6" s="186" t="str">
        <f>IF(F6&lt;0.05,"YES","NO")</f>
        <v>NO</v>
      </c>
    </row>
    <row r="7" spans="1:16">
      <c r="A7" s="186" t="s">
        <v>105</v>
      </c>
      <c r="B7" s="186" t="s">
        <v>203</v>
      </c>
      <c r="C7" s="186" t="s">
        <v>201</v>
      </c>
      <c r="D7" s="186" t="s">
        <v>202</v>
      </c>
      <c r="E7" s="186">
        <v>3.5434000000000001</v>
      </c>
      <c r="F7" s="186">
        <v>7.1239999999999998E-2</v>
      </c>
      <c r="G7" s="186">
        <v>2</v>
      </c>
      <c r="H7" s="186" t="str">
        <f t="shared" ref="H7:H8" si="1">IF(F7&lt;0.05,"YES","NO")</f>
        <v>NO</v>
      </c>
    </row>
    <row r="8" spans="1:16">
      <c r="A8" s="186" t="s">
        <v>105</v>
      </c>
      <c r="B8" s="186" t="s">
        <v>206</v>
      </c>
      <c r="C8" s="186" t="s">
        <v>204</v>
      </c>
      <c r="D8" s="186" t="s">
        <v>205</v>
      </c>
      <c r="E8" s="186">
        <v>14.472</v>
      </c>
      <c r="F8" s="186">
        <v>0.55279999999999996</v>
      </c>
      <c r="G8" s="186">
        <v>2</v>
      </c>
      <c r="H8" s="186" t="str">
        <f t="shared" si="1"/>
        <v>NO</v>
      </c>
    </row>
    <row r="9" spans="1:16">
      <c r="A9" s="186"/>
      <c r="B9" s="186"/>
      <c r="C9" s="186"/>
      <c r="D9" s="186"/>
      <c r="E9" s="186"/>
      <c r="F9" s="186"/>
      <c r="G9" s="186"/>
      <c r="H9" s="186"/>
    </row>
    <row r="10" spans="1:16">
      <c r="A10" s="186" t="s">
        <v>106</v>
      </c>
      <c r="B10" s="186" t="s">
        <v>98</v>
      </c>
      <c r="C10" s="186" t="s">
        <v>201</v>
      </c>
      <c r="D10" s="186" t="s">
        <v>202</v>
      </c>
      <c r="E10" s="186">
        <v>-2.5326</v>
      </c>
      <c r="F10" s="186">
        <v>0.12690000000000001</v>
      </c>
      <c r="G10" s="186">
        <v>2</v>
      </c>
      <c r="H10" s="186" t="str">
        <f>IF(F10&lt;0.05,"YES","NO")</f>
        <v>NO</v>
      </c>
    </row>
    <row r="11" spans="1:16">
      <c r="A11" s="186" t="s">
        <v>106</v>
      </c>
      <c r="B11" s="186" t="s">
        <v>203</v>
      </c>
      <c r="C11" s="186" t="s">
        <v>201</v>
      </c>
      <c r="D11" s="186" t="s">
        <v>202</v>
      </c>
      <c r="E11" s="186">
        <v>-6.2328000000000001</v>
      </c>
      <c r="F11" s="186">
        <v>2.479E-2</v>
      </c>
      <c r="G11" s="186">
        <v>2</v>
      </c>
      <c r="H11" s="186" t="str">
        <f t="shared" ref="H11:H12" si="2">IF(F11&lt;0.05,"YES","NO")</f>
        <v>YES</v>
      </c>
    </row>
    <row r="12" spans="1:16">
      <c r="A12" s="186" t="s">
        <v>106</v>
      </c>
      <c r="B12" s="186" t="s">
        <v>206</v>
      </c>
      <c r="C12" s="186" t="s">
        <v>201</v>
      </c>
      <c r="D12" s="186" t="s">
        <v>202</v>
      </c>
      <c r="E12" s="186">
        <v>-5.8174000000000001</v>
      </c>
      <c r="F12" s="186">
        <v>2.8299999999999999E-2</v>
      </c>
      <c r="G12" s="186">
        <v>2</v>
      </c>
      <c r="H12" s="186" t="str">
        <f t="shared" si="2"/>
        <v>YES</v>
      </c>
    </row>
    <row r="13" spans="1:16">
      <c r="A13" s="186"/>
      <c r="B13" s="186"/>
      <c r="C13" s="186"/>
      <c r="D13" s="186"/>
      <c r="E13" s="186"/>
      <c r="F13" s="186"/>
      <c r="G13" s="186"/>
      <c r="H13" s="186"/>
    </row>
    <row r="14" spans="1:16">
      <c r="A14" s="186" t="s">
        <v>107</v>
      </c>
      <c r="B14" s="186" t="s">
        <v>98</v>
      </c>
      <c r="C14" s="186" t="s">
        <v>204</v>
      </c>
      <c r="D14" s="186" t="s">
        <v>205</v>
      </c>
      <c r="E14" s="186">
        <v>0.51317000000000002</v>
      </c>
      <c r="F14" s="186">
        <v>5.1319999999999998E-2</v>
      </c>
      <c r="G14" s="186">
        <v>2</v>
      </c>
      <c r="H14" s="186" t="str">
        <f>IF(F14&lt;0.05,"YES","NO")</f>
        <v>NO</v>
      </c>
    </row>
    <row r="15" spans="1:16">
      <c r="A15" s="186" t="s">
        <v>107</v>
      </c>
      <c r="B15" s="186" t="s">
        <v>203</v>
      </c>
      <c r="C15" s="186" t="s">
        <v>201</v>
      </c>
      <c r="D15" s="186" t="s">
        <v>202</v>
      </c>
      <c r="E15" s="186">
        <v>5.0876000000000001</v>
      </c>
      <c r="F15" s="186">
        <v>3.653E-2</v>
      </c>
      <c r="G15" s="186">
        <v>2</v>
      </c>
      <c r="H15" s="186" t="str">
        <f t="shared" ref="H15:H16" si="3">IF(F15&lt;0.05,"YES","NO")</f>
        <v>YES</v>
      </c>
    </row>
    <row r="16" spans="1:16">
      <c r="A16" s="186" t="s">
        <v>107</v>
      </c>
      <c r="B16" s="186" t="s">
        <v>206</v>
      </c>
      <c r="C16" s="186" t="s">
        <v>201</v>
      </c>
      <c r="D16" s="186" t="s">
        <v>202</v>
      </c>
      <c r="E16" s="186">
        <v>5.7892999999999999</v>
      </c>
      <c r="F16" s="186">
        <v>2.8559999999999999E-2</v>
      </c>
      <c r="G16" s="186">
        <v>2</v>
      </c>
      <c r="H16" s="186" t="str">
        <f t="shared" si="3"/>
        <v>YES</v>
      </c>
    </row>
    <row r="26" spans="16:16">
      <c r="P26" s="173"/>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confusion_matrices_by_site</vt:lpstr>
      <vt:lpstr>confusion_matrices_forage-rando</vt:lpstr>
      <vt:lpstr>calculating_kappa_errors</vt:lpstr>
      <vt:lpstr>table_3</vt:lpstr>
      <vt:lpstr>table_4</vt:lpstr>
      <vt:lpstr>graphs_fig5</vt:lpstr>
      <vt:lpstr>correlation_summaries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2022-03-18T21:21:28Z</dcterms:created>
  <dcterms:modified xsi:type="dcterms:W3CDTF">2022-03-25T15:36:07Z</dcterms:modified>
</cp:coreProperties>
</file>